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_Everything\Tools\Motor Data\"/>
    </mc:Choice>
  </mc:AlternateContent>
  <xr:revisionPtr revIDLastSave="0" documentId="13_ncr:1_{FB4873E3-17CE-4FC2-BDDE-5E875763B819}" xr6:coauthVersionLast="47" xr6:coauthVersionMax="47" xr10:uidLastSave="{00000000-0000-0000-0000-000000000000}"/>
  <workbookProtection workbookAlgorithmName="SHA-512" workbookHashValue="va0o+uyZGnZeFqK/iC3VFelu5ElzYXTdBUFjpzS55Po+NknW4TK32J6rl1SyUBL4Pcb1CL8v+4zyZ4iquieDtw==" workbookSaltValue="VOYdahbzVOVtMmulvdRtOQ==" workbookSpinCount="100000" lockStructure="1"/>
  <bookViews>
    <workbookView xWindow="28680" yWindow="-120" windowWidth="29040" windowHeight="16440" xr2:uid="{00000000-000D-0000-FFFF-FFFF00000000}"/>
  </bookViews>
  <sheets>
    <sheet name="PMSM Motor Efficiency" sheetId="1" r:id="rId1"/>
    <sheet name="Data_table" sheetId="2" state="hidden" r:id="rId2"/>
  </sheets>
  <definedNames>
    <definedName name="AS">'PMSM Motor Efficiency'!$D$15</definedName>
    <definedName name="AT">'PMSM Motor Efficiency'!$D$16</definedName>
    <definedName name="K">(ST-RT)/RS^2</definedName>
    <definedName name="Kt">'PMSM Motor Efficiency'!$D$13</definedName>
    <definedName name="Pcu">1.5*Res*(AT/Kt)^2</definedName>
    <definedName name="Pfe">1.5*Res*(ST/Kt)^2-1.5*Res*((ST-K*AS^2)/Kt)^2</definedName>
    <definedName name="Res">'PMSM Motor Efficiency'!$D$14</definedName>
    <definedName name="RS">'PMSM Motor Efficiency'!$D$12</definedName>
    <definedName name="RT">'PMSM Motor Efficiency'!$D$11</definedName>
    <definedName name="ST">'PMSM Motor Efficiency'!$D$10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E31" i="2"/>
  <c r="C1" i="2"/>
  <c r="E16" i="1"/>
  <c r="E11" i="1"/>
  <c r="E8" i="2"/>
  <c r="B45" i="2"/>
  <c r="B46" i="2"/>
  <c r="C46" i="2" s="1"/>
  <c r="B47" i="2"/>
  <c r="C47" i="2" s="1"/>
  <c r="B48" i="2"/>
  <c r="B31" i="2"/>
  <c r="B32" i="2"/>
  <c r="B33" i="2"/>
  <c r="C33" i="2" s="1"/>
  <c r="B34" i="2"/>
  <c r="C34" i="2" s="1"/>
  <c r="B35" i="2"/>
  <c r="C35" i="2" s="1"/>
  <c r="D35" i="2" s="1"/>
  <c r="B36" i="2"/>
  <c r="B37" i="2"/>
  <c r="B8" i="2"/>
  <c r="B9" i="2"/>
  <c r="C9" i="2" s="1"/>
  <c r="B10" i="2"/>
  <c r="B15" i="2"/>
  <c r="B16" i="2"/>
  <c r="B17" i="2"/>
  <c r="B18" i="2"/>
  <c r="A2" i="2"/>
  <c r="B52" i="2" s="1"/>
  <c r="D33" i="2" l="1"/>
  <c r="E48" i="2"/>
  <c r="D9" i="2"/>
  <c r="E34" i="2"/>
  <c r="E18" i="2"/>
  <c r="E15" i="2"/>
  <c r="E45" i="2"/>
  <c r="E16" i="2"/>
  <c r="F17" i="2"/>
  <c r="E17" i="2"/>
  <c r="C16" i="2"/>
  <c r="F16" i="2" s="1"/>
  <c r="B21" i="2"/>
  <c r="E21" i="2" s="1"/>
  <c r="B5" i="2"/>
  <c r="B51" i="2"/>
  <c r="E51" i="2" s="1"/>
  <c r="C17" i="2"/>
  <c r="D17" i="2" s="1"/>
  <c r="B7" i="2"/>
  <c r="C7" i="2" s="1"/>
  <c r="D7" i="2" s="1"/>
  <c r="B30" i="2"/>
  <c r="B22" i="2"/>
  <c r="B25" i="2"/>
  <c r="C25" i="2" s="1"/>
  <c r="D25" i="2" s="1"/>
  <c r="B20" i="2"/>
  <c r="E20" i="2" s="1"/>
  <c r="B4" i="2"/>
  <c r="B50" i="2"/>
  <c r="E47" i="2"/>
  <c r="C15" i="2"/>
  <c r="D15" i="2" s="1"/>
  <c r="B6" i="2"/>
  <c r="C6" i="2" s="1"/>
  <c r="D6" i="2" s="1"/>
  <c r="B19" i="2"/>
  <c r="C19" i="2" s="1"/>
  <c r="D19" i="2" s="1"/>
  <c r="B3" i="2"/>
  <c r="B49" i="2"/>
  <c r="E49" i="2" s="1"/>
  <c r="E46" i="2"/>
  <c r="D34" i="2"/>
  <c r="F34" i="2"/>
  <c r="D46" i="2"/>
  <c r="F46" i="2"/>
  <c r="C52" i="2"/>
  <c r="D52" i="2" s="1"/>
  <c r="E52" i="2"/>
  <c r="D47" i="2"/>
  <c r="F47" i="2"/>
  <c r="C51" i="2"/>
  <c r="D51" i="2" s="1"/>
  <c r="C50" i="2"/>
  <c r="D50" i="2" s="1"/>
  <c r="E7" i="2"/>
  <c r="F33" i="2"/>
  <c r="E10" i="2"/>
  <c r="C36" i="2"/>
  <c r="D36" i="2" s="1"/>
  <c r="E33" i="2"/>
  <c r="E36" i="2"/>
  <c r="E19" i="2"/>
  <c r="C45" i="2"/>
  <c r="D45" i="2" s="1"/>
  <c r="C21" i="2"/>
  <c r="D21" i="2" s="1"/>
  <c r="E22" i="2"/>
  <c r="B2" i="2"/>
  <c r="B13" i="2"/>
  <c r="B40" i="2"/>
  <c r="B28" i="2"/>
  <c r="B43" i="2"/>
  <c r="C32" i="2"/>
  <c r="D32" i="2" s="1"/>
  <c r="C20" i="2"/>
  <c r="D20" i="2" s="1"/>
  <c r="C8" i="2"/>
  <c r="D8" i="2" s="1"/>
  <c r="F35" i="2"/>
  <c r="E32" i="2"/>
  <c r="C37" i="2"/>
  <c r="D37" i="2" s="1"/>
  <c r="C48" i="2"/>
  <c r="D48" i="2" s="1"/>
  <c r="F19" i="2"/>
  <c r="C10" i="2"/>
  <c r="D10" i="2" s="1"/>
  <c r="B14" i="2"/>
  <c r="E9" i="2"/>
  <c r="G9" i="2" s="1"/>
  <c r="B24" i="2"/>
  <c r="B12" i="2"/>
  <c r="B39" i="2"/>
  <c r="B27" i="2"/>
  <c r="B42" i="2"/>
  <c r="C31" i="2"/>
  <c r="D31" i="2" s="1"/>
  <c r="E35" i="2"/>
  <c r="E50" i="2"/>
  <c r="C49" i="2"/>
  <c r="D49" i="2" s="1"/>
  <c r="C22" i="2"/>
  <c r="D22" i="2" s="1"/>
  <c r="F9" i="2"/>
  <c r="B41" i="2"/>
  <c r="B29" i="2"/>
  <c r="B44" i="2"/>
  <c r="B23" i="2"/>
  <c r="B11" i="2"/>
  <c r="B38" i="2"/>
  <c r="B26" i="2"/>
  <c r="C18" i="2"/>
  <c r="D18" i="2" s="1"/>
  <c r="E37" i="2"/>
  <c r="G17" i="2" l="1"/>
  <c r="G33" i="2"/>
  <c r="G35" i="2"/>
  <c r="E6" i="2"/>
  <c r="G6" i="2" s="1"/>
  <c r="D16" i="2"/>
  <c r="G16" i="2" s="1"/>
  <c r="F51" i="2"/>
  <c r="G51" i="2" s="1"/>
  <c r="G19" i="2"/>
  <c r="F49" i="2"/>
  <c r="G49" i="2" s="1"/>
  <c r="C30" i="2"/>
  <c r="E30" i="2"/>
  <c r="F15" i="2"/>
  <c r="G15" i="2" s="1"/>
  <c r="F10" i="2"/>
  <c r="G10" i="2" s="1"/>
  <c r="C3" i="2"/>
  <c r="E3" i="2"/>
  <c r="E25" i="2"/>
  <c r="F45" i="2"/>
  <c r="G45" i="2" s="1"/>
  <c r="E5" i="2"/>
  <c r="C5" i="2"/>
  <c r="D5" i="2" s="1"/>
  <c r="F5" i="2"/>
  <c r="F6" i="2"/>
  <c r="E4" i="2"/>
  <c r="C4" i="2"/>
  <c r="F48" i="2"/>
  <c r="G48" i="2" s="1"/>
  <c r="F50" i="2"/>
  <c r="C28" i="2"/>
  <c r="D28" i="2" s="1"/>
  <c r="E28" i="2"/>
  <c r="E14" i="2"/>
  <c r="C14" i="2"/>
  <c r="D14" i="2" s="1"/>
  <c r="F52" i="2"/>
  <c r="G52" i="2" s="1"/>
  <c r="F8" i="2"/>
  <c r="G8" i="2" s="1"/>
  <c r="C42" i="2"/>
  <c r="D42" i="2" s="1"/>
  <c r="E42" i="2"/>
  <c r="E26" i="2"/>
  <c r="C26" i="2"/>
  <c r="D26" i="2" s="1"/>
  <c r="F18" i="2"/>
  <c r="G18" i="2" s="1"/>
  <c r="G50" i="2"/>
  <c r="F31" i="2"/>
  <c r="G31" i="2" s="1"/>
  <c r="F32" i="2"/>
  <c r="G32" i="2" s="1"/>
  <c r="C41" i="2"/>
  <c r="D41" i="2" s="1"/>
  <c r="E41" i="2"/>
  <c r="E38" i="2"/>
  <c r="C38" i="2"/>
  <c r="D38" i="2" s="1"/>
  <c r="C24" i="2"/>
  <c r="D24" i="2" s="1"/>
  <c r="E24" i="2"/>
  <c r="E23" i="2"/>
  <c r="C23" i="2"/>
  <c r="D23" i="2" s="1"/>
  <c r="G47" i="2"/>
  <c r="F21" i="2"/>
  <c r="G21" i="2" s="1"/>
  <c r="F37" i="2"/>
  <c r="G37" i="2" s="1"/>
  <c r="C11" i="2"/>
  <c r="D11" i="2" s="1"/>
  <c r="E11" i="2"/>
  <c r="E44" i="2"/>
  <c r="C44" i="2"/>
  <c r="D44" i="2" s="1"/>
  <c r="C43" i="2"/>
  <c r="D43" i="2" s="1"/>
  <c r="E43" i="2"/>
  <c r="F36" i="2"/>
  <c r="G36" i="2" s="1"/>
  <c r="G46" i="2"/>
  <c r="E29" i="2"/>
  <c r="C29" i="2"/>
  <c r="D29" i="2" s="1"/>
  <c r="E27" i="2"/>
  <c r="C27" i="2"/>
  <c r="D27" i="2" s="1"/>
  <c r="E40" i="2"/>
  <c r="C40" i="2"/>
  <c r="D40" i="2" s="1"/>
  <c r="E39" i="2"/>
  <c r="C39" i="2"/>
  <c r="D39" i="2" s="1"/>
  <c r="F20" i="2"/>
  <c r="G20" i="2" s="1"/>
  <c r="E13" i="2"/>
  <c r="C13" i="2"/>
  <c r="D13" i="2" s="1"/>
  <c r="F25" i="2"/>
  <c r="E12" i="2"/>
  <c r="C12" i="2"/>
  <c r="D12" i="2" s="1"/>
  <c r="E2" i="2"/>
  <c r="C2" i="2"/>
  <c r="D2" i="2" s="1"/>
  <c r="F7" i="2"/>
  <c r="G7" i="2" s="1"/>
  <c r="F22" i="2"/>
  <c r="G22" i="2" s="1"/>
  <c r="G34" i="2"/>
  <c r="G25" i="2" l="1"/>
  <c r="F4" i="2"/>
  <c r="D4" i="2"/>
  <c r="G4" i="2" s="1"/>
  <c r="D3" i="2"/>
  <c r="F3" i="2"/>
  <c r="F42" i="2"/>
  <c r="F30" i="2"/>
  <c r="D30" i="2"/>
  <c r="G5" i="2"/>
  <c r="F12" i="2"/>
  <c r="F27" i="2"/>
  <c r="G27" i="2" s="1"/>
  <c r="F38" i="2"/>
  <c r="G38" i="2" s="1"/>
  <c r="F28" i="2"/>
  <c r="G28" i="2" s="1"/>
  <c r="F23" i="2"/>
  <c r="G23" i="2" s="1"/>
  <c r="F41" i="2"/>
  <c r="G41" i="2" s="1"/>
  <c r="F2" i="2"/>
  <c r="G2" i="2" s="1"/>
  <c r="F39" i="2"/>
  <c r="G39" i="2" s="1"/>
  <c r="F11" i="2"/>
  <c r="G11" i="2" s="1"/>
  <c r="F44" i="2"/>
  <c r="G44" i="2" s="1"/>
  <c r="F13" i="2"/>
  <c r="G13" i="2" s="1"/>
  <c r="G12" i="2"/>
  <c r="F43" i="2"/>
  <c r="G43" i="2" s="1"/>
  <c r="F40" i="2"/>
  <c r="G40" i="2" s="1"/>
  <c r="F14" i="2"/>
  <c r="G14" i="2" s="1"/>
  <c r="F26" i="2"/>
  <c r="G26" i="2" s="1"/>
  <c r="F29" i="2"/>
  <c r="G29" i="2" s="1"/>
  <c r="F24" i="2"/>
  <c r="G24" i="2" s="1"/>
  <c r="G42" i="2"/>
  <c r="G3" i="2" l="1"/>
  <c r="G30" i="2"/>
  <c r="G20" i="1" l="1"/>
  <c r="D24" i="1"/>
  <c r="D21" i="1" l="1"/>
  <c r="D22" i="1"/>
  <c r="D20" i="1"/>
</calcChain>
</file>

<file path=xl/sharedStrings.xml><?xml version="1.0" encoding="utf-8"?>
<sst xmlns="http://schemas.openxmlformats.org/spreadsheetml/2006/main" count="33" uniqueCount="31">
  <si>
    <t>Motor Efficiency Calculator</t>
  </si>
  <si>
    <t>Motor Type</t>
  </si>
  <si>
    <t>Stall Torque</t>
  </si>
  <si>
    <t>Nm</t>
  </si>
  <si>
    <t>Rated torque</t>
  </si>
  <si>
    <t>Rated speed</t>
  </si>
  <si>
    <t>rpm</t>
  </si>
  <si>
    <t>Kt</t>
  </si>
  <si>
    <t>Nm/A</t>
  </si>
  <si>
    <t>R25 =</t>
  </si>
  <si>
    <t>Resistance hot Ph-Ph</t>
  </si>
  <si>
    <t>ohm</t>
  </si>
  <si>
    <t>Tw =</t>
  </si>
  <si>
    <t>Application Avr speed</t>
  </si>
  <si>
    <t>Application rms torque</t>
  </si>
  <si>
    <t>Efficiency(max)</t>
  </si>
  <si>
    <t>(Lcu=Lfe) @</t>
  </si>
  <si>
    <t>Efficiency(rated speed)</t>
  </si>
  <si>
    <t>Efficiency(application)</t>
  </si>
  <si>
    <t>Km</t>
  </si>
  <si>
    <t>Nm/sqrt(w)</t>
  </si>
  <si>
    <t>Version</t>
  </si>
  <si>
    <t>3.0</t>
  </si>
  <si>
    <t>AKM41E</t>
  </si>
  <si>
    <t>n</t>
  </si>
  <si>
    <t>n max Graph</t>
  </si>
  <si>
    <t>Pcu</t>
  </si>
  <si>
    <t>Pfe</t>
  </si>
  <si>
    <t>Pn</t>
  </si>
  <si>
    <t>Wirkungsgrad [%]</t>
  </si>
  <si>
    <t xml:space="preserve">Arbeitspunkt Applikation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</si>
</sst>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7" formatCode="0.0"/>
  </numFmts>
  <fonts count="4" x14ac:knownFonts="1">
    <font>
      <sz val="11"/>
      <color theme="1"/>
      <name val="Helvetica"/>
      <family val="3"/>
    </font>
    <font>
      <b/>
      <sz val="20"/>
      <color theme="0"/>
      <name val="Helvetica"/>
      <family val="3"/>
    </font>
    <font>
      <b/>
      <sz val="16"/>
      <color theme="1"/>
      <name val="Helvetica"/>
      <family val="3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B7D59"/>
        <bgColor indexed="64"/>
      </patternFill>
    </fill>
    <fill>
      <patternFill patternType="solid">
        <fgColor rgb="FFE1682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quotePrefix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/>
    <xf numFmtId="164" fontId="0" fillId="2" borderId="0" xfId="0" applyNumberFormat="1" applyFill="1"/>
    <xf numFmtId="167" fontId="0" fillId="2" borderId="0" xfId="0" applyNumberFormat="1" applyFill="1"/>
    <xf numFmtId="1" fontId="0" fillId="2" borderId="0" xfId="0" applyNumberFormat="1" applyFill="1"/>
    <xf numFmtId="0" fontId="0" fillId="0" borderId="0" xfId="0" applyFill="1" applyBorder="1"/>
    <xf numFmtId="0" fontId="3" fillId="0" borderId="0" xfId="0" applyFont="1" applyFill="1" applyBorder="1"/>
    <xf numFmtId="2" fontId="0" fillId="0" borderId="0" xfId="0" applyNumberFormat="1"/>
    <xf numFmtId="1" fontId="0" fillId="0" borderId="0" xfId="0" applyNumberFormat="1"/>
    <xf numFmtId="0" fontId="0" fillId="3" borderId="0" xfId="0" applyFill="1" applyAlignment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left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DADDC8"/>
      <color rgb="FF6B7D59"/>
      <color rgb="FFE16825"/>
      <color rgb="FFA9B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'PMSM Motor Efficiency'!$D$8</c:f>
          <c:strCache>
            <c:ptCount val="1"/>
            <c:pt idx="0">
              <c:v>AKM41E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Data_table!$C$1</c:f>
              <c:strCache>
                <c:ptCount val="1"/>
                <c:pt idx="0">
                  <c:v>Motor Nennmoment [Nm]              </c:v>
                </c:pt>
              </c:strCache>
            </c:strRef>
          </c:tx>
          <c:spPr>
            <a:ln w="19050" cap="rnd">
              <a:solidFill>
                <a:srgbClr val="DADDC8"/>
              </a:solidFill>
              <a:round/>
            </a:ln>
            <a:effectLst/>
          </c:spPr>
          <c:marker>
            <c:symbol val="none"/>
          </c:marker>
          <c:xVal>
            <c:numRef>
              <c:f>Data_table!$B$2:$B$57</c:f>
              <c:numCache>
                <c:formatCode>General</c:formatCode>
                <c:ptCount val="56"/>
                <c:pt idx="0">
                  <c:v>0</c:v>
                </c:pt>
                <c:pt idx="1">
                  <c:v>180</c:v>
                </c:pt>
                <c:pt idx="2">
                  <c:v>360</c:v>
                </c:pt>
                <c:pt idx="3">
                  <c:v>540</c:v>
                </c:pt>
                <c:pt idx="4">
                  <c:v>720</c:v>
                </c:pt>
                <c:pt idx="5">
                  <c:v>900</c:v>
                </c:pt>
                <c:pt idx="6">
                  <c:v>1080</c:v>
                </c:pt>
                <c:pt idx="7">
                  <c:v>1260</c:v>
                </c:pt>
                <c:pt idx="8">
                  <c:v>1440</c:v>
                </c:pt>
                <c:pt idx="9">
                  <c:v>1620</c:v>
                </c:pt>
                <c:pt idx="10">
                  <c:v>1800</c:v>
                </c:pt>
                <c:pt idx="11">
                  <c:v>1980</c:v>
                </c:pt>
                <c:pt idx="12">
                  <c:v>2160</c:v>
                </c:pt>
                <c:pt idx="13">
                  <c:v>2340</c:v>
                </c:pt>
                <c:pt idx="14">
                  <c:v>2520</c:v>
                </c:pt>
                <c:pt idx="15">
                  <c:v>2700</c:v>
                </c:pt>
                <c:pt idx="16">
                  <c:v>2880</c:v>
                </c:pt>
                <c:pt idx="17">
                  <c:v>3060</c:v>
                </c:pt>
                <c:pt idx="18">
                  <c:v>3240</c:v>
                </c:pt>
                <c:pt idx="19">
                  <c:v>3420</c:v>
                </c:pt>
                <c:pt idx="20">
                  <c:v>3600</c:v>
                </c:pt>
                <c:pt idx="21">
                  <c:v>3780</c:v>
                </c:pt>
                <c:pt idx="22">
                  <c:v>3960</c:v>
                </c:pt>
                <c:pt idx="23">
                  <c:v>4140</c:v>
                </c:pt>
                <c:pt idx="24">
                  <c:v>4320</c:v>
                </c:pt>
                <c:pt idx="25">
                  <c:v>4500</c:v>
                </c:pt>
                <c:pt idx="26">
                  <c:v>4680</c:v>
                </c:pt>
                <c:pt idx="27">
                  <c:v>4860</c:v>
                </c:pt>
                <c:pt idx="28">
                  <c:v>5040</c:v>
                </c:pt>
                <c:pt idx="29">
                  <c:v>5220</c:v>
                </c:pt>
                <c:pt idx="30">
                  <c:v>5400</c:v>
                </c:pt>
                <c:pt idx="31">
                  <c:v>5580</c:v>
                </c:pt>
                <c:pt idx="32">
                  <c:v>5760</c:v>
                </c:pt>
                <c:pt idx="33">
                  <c:v>5940</c:v>
                </c:pt>
                <c:pt idx="34">
                  <c:v>6120</c:v>
                </c:pt>
                <c:pt idx="35">
                  <c:v>6300</c:v>
                </c:pt>
                <c:pt idx="36">
                  <c:v>6480</c:v>
                </c:pt>
                <c:pt idx="37">
                  <c:v>6660</c:v>
                </c:pt>
                <c:pt idx="38">
                  <c:v>6840</c:v>
                </c:pt>
                <c:pt idx="39">
                  <c:v>7020</c:v>
                </c:pt>
                <c:pt idx="40">
                  <c:v>7200</c:v>
                </c:pt>
                <c:pt idx="41">
                  <c:v>7380</c:v>
                </c:pt>
                <c:pt idx="42">
                  <c:v>7560</c:v>
                </c:pt>
                <c:pt idx="43">
                  <c:v>7740</c:v>
                </c:pt>
                <c:pt idx="44">
                  <c:v>7920</c:v>
                </c:pt>
                <c:pt idx="45">
                  <c:v>8100</c:v>
                </c:pt>
                <c:pt idx="46">
                  <c:v>8280</c:v>
                </c:pt>
                <c:pt idx="47">
                  <c:v>8460</c:v>
                </c:pt>
                <c:pt idx="48">
                  <c:v>8640</c:v>
                </c:pt>
                <c:pt idx="49">
                  <c:v>8820</c:v>
                </c:pt>
                <c:pt idx="50">
                  <c:v>9000</c:v>
                </c:pt>
              </c:numCache>
            </c:numRef>
          </c:xVal>
          <c:yVal>
            <c:numRef>
              <c:f>Data_table!$C$2:$C$57</c:f>
              <c:numCache>
                <c:formatCode>General</c:formatCode>
                <c:ptCount val="56"/>
                <c:pt idx="0">
                  <c:v>2.02</c:v>
                </c:pt>
                <c:pt idx="1">
                  <c:v>2.0196040000000002</c:v>
                </c:pt>
                <c:pt idx="2">
                  <c:v>2.0184160000000002</c:v>
                </c:pt>
                <c:pt idx="3">
                  <c:v>2.0164360000000001</c:v>
                </c:pt>
                <c:pt idx="4">
                  <c:v>2.0136639999999999</c:v>
                </c:pt>
                <c:pt idx="5">
                  <c:v>2.0101</c:v>
                </c:pt>
                <c:pt idx="6">
                  <c:v>2.005744</c:v>
                </c:pt>
                <c:pt idx="7">
                  <c:v>2.0005959999999998</c:v>
                </c:pt>
                <c:pt idx="8">
                  <c:v>1.994656</c:v>
                </c:pt>
                <c:pt idx="9">
                  <c:v>1.987924</c:v>
                </c:pt>
                <c:pt idx="10">
                  <c:v>1.9803999999999999</c:v>
                </c:pt>
                <c:pt idx="11">
                  <c:v>1.9720839999999999</c:v>
                </c:pt>
                <c:pt idx="12">
                  <c:v>1.9629760000000001</c:v>
                </c:pt>
                <c:pt idx="13">
                  <c:v>1.953076</c:v>
                </c:pt>
                <c:pt idx="14">
                  <c:v>1.9423840000000001</c:v>
                </c:pt>
                <c:pt idx="15">
                  <c:v>1.9309000000000001</c:v>
                </c:pt>
                <c:pt idx="16">
                  <c:v>1.9186240000000001</c:v>
                </c:pt>
                <c:pt idx="17">
                  <c:v>1.905556</c:v>
                </c:pt>
                <c:pt idx="18">
                  <c:v>1.891696</c:v>
                </c:pt>
                <c:pt idx="19">
                  <c:v>1.8770440000000002</c:v>
                </c:pt>
                <c:pt idx="20">
                  <c:v>1.8616000000000001</c:v>
                </c:pt>
                <c:pt idx="21">
                  <c:v>1.845364</c:v>
                </c:pt>
                <c:pt idx="22">
                  <c:v>1.828336</c:v>
                </c:pt>
                <c:pt idx="23">
                  <c:v>1.810516</c:v>
                </c:pt>
                <c:pt idx="24">
                  <c:v>1.7919040000000002</c:v>
                </c:pt>
                <c:pt idx="25">
                  <c:v>1.7725</c:v>
                </c:pt>
                <c:pt idx="26">
                  <c:v>1.7523040000000001</c:v>
                </c:pt>
                <c:pt idx="27">
                  <c:v>1.7313160000000001</c:v>
                </c:pt>
                <c:pt idx="28">
                  <c:v>1.7095359999999999</c:v>
                </c:pt>
                <c:pt idx="29">
                  <c:v>1.6869640000000001</c:v>
                </c:pt>
                <c:pt idx="30">
                  <c:v>1.6636000000000002</c:v>
                </c:pt>
                <c:pt idx="31">
                  <c:v>1.6394440000000001</c:v>
                </c:pt>
                <c:pt idx="32">
                  <c:v>1.6144960000000002</c:v>
                </c:pt>
                <c:pt idx="33">
                  <c:v>1.5887560000000001</c:v>
                </c:pt>
                <c:pt idx="34">
                  <c:v>1.5622240000000001</c:v>
                </c:pt>
                <c:pt idx="35">
                  <c:v>1.5349000000000002</c:v>
                </c:pt>
                <c:pt idx="36">
                  <c:v>1.5067840000000001</c:v>
                </c:pt>
                <c:pt idx="37">
                  <c:v>1.4778760000000002</c:v>
                </c:pt>
                <c:pt idx="38">
                  <c:v>1.4481760000000001</c:v>
                </c:pt>
                <c:pt idx="39">
                  <c:v>1.4176840000000002</c:v>
                </c:pt>
                <c:pt idx="40">
                  <c:v>1.3864000000000001</c:v>
                </c:pt>
                <c:pt idx="41">
                  <c:v>1.3543240000000001</c:v>
                </c:pt>
                <c:pt idx="42">
                  <c:v>1.321456</c:v>
                </c:pt>
                <c:pt idx="43">
                  <c:v>1.2877960000000002</c:v>
                </c:pt>
                <c:pt idx="44">
                  <c:v>1.2533440000000002</c:v>
                </c:pt>
                <c:pt idx="45">
                  <c:v>1.2181000000000002</c:v>
                </c:pt>
                <c:pt idx="46">
                  <c:v>1.182064</c:v>
                </c:pt>
                <c:pt idx="47">
                  <c:v>1.1452360000000001</c:v>
                </c:pt>
                <c:pt idx="48">
                  <c:v>1.1076160000000002</c:v>
                </c:pt>
                <c:pt idx="49">
                  <c:v>1.069204</c:v>
                </c:pt>
                <c:pt idx="50">
                  <c:v>1.0300000000000002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45-4182-A723-8C308C0BE1C0}"/>
            </c:ext>
          </c:extLst>
        </c:ser>
        <c:ser>
          <c:idx val="2"/>
          <c:order val="2"/>
          <c:tx>
            <c:strRef>
              <c:f>Data_table!$J$3</c:f>
              <c:strCache>
                <c:ptCount val="1"/>
                <c:pt idx="0">
                  <c:v>Arbeitspunkt Applikation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5400">
                <a:solidFill>
                  <a:srgbClr val="E16825"/>
                </a:solidFill>
              </a:ln>
              <a:effectLst/>
            </c:spPr>
          </c:marker>
          <c:xVal>
            <c:numRef>
              <c:f>'PMSM Motor Efficiency'!$D$15</c:f>
              <c:numCache>
                <c:formatCode>General</c:formatCode>
                <c:ptCount val="1"/>
                <c:pt idx="0">
                  <c:v>4800</c:v>
                </c:pt>
              </c:numCache>
            </c:numRef>
          </c:xVal>
          <c:yVal>
            <c:numRef>
              <c:f>'PMSM Motor Efficiency'!$D$16</c:f>
              <c:numCache>
                <c:formatCode>General</c:formatCode>
                <c:ptCount val="1"/>
                <c:pt idx="0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45-4182-A723-8C308C0BE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5498960"/>
        <c:axId val="1195498000"/>
      </c:scatterChart>
      <c:scatterChart>
        <c:scatterStyle val="lineMarker"/>
        <c:varyColors val="0"/>
        <c:ser>
          <c:idx val="1"/>
          <c:order val="1"/>
          <c:tx>
            <c:strRef>
              <c:f>Data_table!$G$1</c:f>
              <c:strCache>
                <c:ptCount val="1"/>
                <c:pt idx="0">
                  <c:v>Wirkungsgrad [%]</c:v>
                </c:pt>
              </c:strCache>
            </c:strRef>
          </c:tx>
          <c:spPr>
            <a:ln w="19050" cap="rnd">
              <a:solidFill>
                <a:srgbClr val="6B7D59"/>
              </a:solidFill>
              <a:round/>
            </a:ln>
            <a:effectLst/>
          </c:spPr>
          <c:marker>
            <c:symbol val="none"/>
          </c:marker>
          <c:xVal>
            <c:numRef>
              <c:f>Data_table!$B$2:$B$57</c:f>
              <c:numCache>
                <c:formatCode>General</c:formatCode>
                <c:ptCount val="56"/>
                <c:pt idx="0">
                  <c:v>0</c:v>
                </c:pt>
                <c:pt idx="1">
                  <c:v>180</c:v>
                </c:pt>
                <c:pt idx="2">
                  <c:v>360</c:v>
                </c:pt>
                <c:pt idx="3">
                  <c:v>540</c:v>
                </c:pt>
                <c:pt idx="4">
                  <c:v>720</c:v>
                </c:pt>
                <c:pt idx="5">
                  <c:v>900</c:v>
                </c:pt>
                <c:pt idx="6">
                  <c:v>1080</c:v>
                </c:pt>
                <c:pt idx="7">
                  <c:v>1260</c:v>
                </c:pt>
                <c:pt idx="8">
                  <c:v>1440</c:v>
                </c:pt>
                <c:pt idx="9">
                  <c:v>1620</c:v>
                </c:pt>
                <c:pt idx="10">
                  <c:v>1800</c:v>
                </c:pt>
                <c:pt idx="11">
                  <c:v>1980</c:v>
                </c:pt>
                <c:pt idx="12">
                  <c:v>2160</c:v>
                </c:pt>
                <c:pt idx="13">
                  <c:v>2340</c:v>
                </c:pt>
                <c:pt idx="14">
                  <c:v>2520</c:v>
                </c:pt>
                <c:pt idx="15">
                  <c:v>2700</c:v>
                </c:pt>
                <c:pt idx="16">
                  <c:v>2880</c:v>
                </c:pt>
                <c:pt idx="17">
                  <c:v>3060</c:v>
                </c:pt>
                <c:pt idx="18">
                  <c:v>3240</c:v>
                </c:pt>
                <c:pt idx="19">
                  <c:v>3420</c:v>
                </c:pt>
                <c:pt idx="20">
                  <c:v>3600</c:v>
                </c:pt>
                <c:pt idx="21">
                  <c:v>3780</c:v>
                </c:pt>
                <c:pt idx="22">
                  <c:v>3960</c:v>
                </c:pt>
                <c:pt idx="23">
                  <c:v>4140</c:v>
                </c:pt>
                <c:pt idx="24">
                  <c:v>4320</c:v>
                </c:pt>
                <c:pt idx="25">
                  <c:v>4500</c:v>
                </c:pt>
                <c:pt idx="26">
                  <c:v>4680</c:v>
                </c:pt>
                <c:pt idx="27">
                  <c:v>4860</c:v>
                </c:pt>
                <c:pt idx="28">
                  <c:v>5040</c:v>
                </c:pt>
                <c:pt idx="29">
                  <c:v>5220</c:v>
                </c:pt>
                <c:pt idx="30">
                  <c:v>5400</c:v>
                </c:pt>
                <c:pt idx="31">
                  <c:v>5580</c:v>
                </c:pt>
                <c:pt idx="32">
                  <c:v>5760</c:v>
                </c:pt>
                <c:pt idx="33">
                  <c:v>5940</c:v>
                </c:pt>
                <c:pt idx="34">
                  <c:v>6120</c:v>
                </c:pt>
                <c:pt idx="35">
                  <c:v>6300</c:v>
                </c:pt>
                <c:pt idx="36">
                  <c:v>6480</c:v>
                </c:pt>
                <c:pt idx="37">
                  <c:v>6660</c:v>
                </c:pt>
                <c:pt idx="38">
                  <c:v>6840</c:v>
                </c:pt>
                <c:pt idx="39">
                  <c:v>7020</c:v>
                </c:pt>
                <c:pt idx="40">
                  <c:v>7200</c:v>
                </c:pt>
                <c:pt idx="41">
                  <c:v>7380</c:v>
                </c:pt>
                <c:pt idx="42">
                  <c:v>7560</c:v>
                </c:pt>
                <c:pt idx="43">
                  <c:v>7740</c:v>
                </c:pt>
                <c:pt idx="44">
                  <c:v>7920</c:v>
                </c:pt>
                <c:pt idx="45">
                  <c:v>8100</c:v>
                </c:pt>
                <c:pt idx="46">
                  <c:v>8280</c:v>
                </c:pt>
                <c:pt idx="47">
                  <c:v>8460</c:v>
                </c:pt>
                <c:pt idx="48">
                  <c:v>8640</c:v>
                </c:pt>
                <c:pt idx="49">
                  <c:v>8820</c:v>
                </c:pt>
                <c:pt idx="50">
                  <c:v>9000</c:v>
                </c:pt>
              </c:numCache>
            </c:numRef>
          </c:xVal>
          <c:yVal>
            <c:numRef>
              <c:f>Data_table!$G$2:$G$57</c:f>
              <c:numCache>
                <c:formatCode>0.00</c:formatCode>
                <c:ptCount val="56"/>
                <c:pt idx="0" formatCode="0">
                  <c:v>0</c:v>
                </c:pt>
                <c:pt idx="1">
                  <c:v>26.400706000976392</c:v>
                </c:pt>
                <c:pt idx="2">
                  <c:v>41.758724431987858</c:v>
                </c:pt>
                <c:pt idx="3">
                  <c:v>51.794173124633922</c:v>
                </c:pt>
                <c:pt idx="4">
                  <c:v>58.858143111229325</c:v>
                </c:pt>
                <c:pt idx="5">
                  <c:v>64.094688276996834</c:v>
                </c:pt>
                <c:pt idx="6">
                  <c:v>68.127304993946254</c:v>
                </c:pt>
                <c:pt idx="7">
                  <c:v>71.324752883094988</c:v>
                </c:pt>
                <c:pt idx="8">
                  <c:v>73.9190808405193</c:v>
                </c:pt>
                <c:pt idx="9">
                  <c:v>76.063596400357824</c:v>
                </c:pt>
                <c:pt idx="10">
                  <c:v>77.863643751723785</c:v>
                </c:pt>
                <c:pt idx="11">
                  <c:v>79.393991618431841</c:v>
                </c:pt>
                <c:pt idx="12">
                  <c:v>80.709167806570022</c:v>
                </c:pt>
                <c:pt idx="13">
                  <c:v>81.84986698641832</c:v>
                </c:pt>
                <c:pt idx="14">
                  <c:v>82.847068678176356</c:v>
                </c:pt>
                <c:pt idx="15">
                  <c:v>83.724766340777109</c:v>
                </c:pt>
                <c:pt idx="16">
                  <c:v>84.501824926135001</c:v>
                </c:pt>
                <c:pt idx="17">
                  <c:v>85.193275133850605</c:v>
                </c:pt>
                <c:pt idx="18">
                  <c:v>85.811233998548602</c:v>
                </c:pt>
                <c:pt idx="19">
                  <c:v>86.365571822405968</c:v>
                </c:pt>
                <c:pt idx="20">
                  <c:v>86.864403337073824</c:v>
                </c:pt>
                <c:pt idx="21">
                  <c:v>87.314454786954371</c:v>
                </c:pt>
                <c:pt idx="22">
                  <c:v>87.721341941509252</c:v>
                </c:pt>
                <c:pt idx="23">
                  <c:v>88.08978318137693</c:v>
                </c:pt>
                <c:pt idx="24">
                  <c:v>88.423764588582742</c:v>
                </c:pt>
                <c:pt idx="25">
                  <c:v>88.726669092112871</c:v>
                </c:pt>
                <c:pt idx="26">
                  <c:v>89.001378365239702</c:v>
                </c:pt>
                <c:pt idx="27">
                  <c:v>89.250353828420387</c:v>
                </c:pt>
                <c:pt idx="28">
                  <c:v>89.475701452316244</c:v>
                </c:pt>
                <c:pt idx="29">
                  <c:v>89.679223864258418</c:v>
                </c:pt>
                <c:pt idx="30">
                  <c:v>89.862462395195266</c:v>
                </c:pt>
                <c:pt idx="31">
                  <c:v>90.026731066175358</c:v>
                </c:pt>
                <c:pt idx="32">
                  <c:v>90.173144037546464</c:v>
                </c:pt>
                <c:pt idx="33">
                  <c:v>90.302637684278622</c:v>
                </c:pt>
                <c:pt idx="34">
                  <c:v>90.41598818469781</c:v>
                </c:pt>
                <c:pt idx="35">
                  <c:v>90.513825294186717</c:v>
                </c:pt>
                <c:pt idx="36">
                  <c:v>90.596642803082517</c:v>
                </c:pt>
                <c:pt idx="37">
                  <c:v>90.66480603635695</c:v>
                </c:pt>
                <c:pt idx="38">
                  <c:v>90.71855663185336</c:v>
                </c:pt>
                <c:pt idx="39">
                  <c:v>90.758014725883683</c:v>
                </c:pt>
                <c:pt idx="40">
                  <c:v>90.78317857292663</c:v>
                </c:pt>
                <c:pt idx="41">
                  <c:v>90.793921523502462</c:v>
                </c:pt>
                <c:pt idx="42">
                  <c:v>90.789986174307728</c:v>
                </c:pt>
                <c:pt idx="43">
                  <c:v>90.770975379793555</c:v>
                </c:pt>
                <c:pt idx="44">
                  <c:v>90.736339665324579</c:v>
                </c:pt>
                <c:pt idx="45">
                  <c:v>90.685360396938648</c:v>
                </c:pt>
                <c:pt idx="46">
                  <c:v>90.617127825467534</c:v>
                </c:pt>
                <c:pt idx="47">
                  <c:v>90.530512811044986</c:v>
                </c:pt>
                <c:pt idx="48">
                  <c:v>90.424130616048444</c:v>
                </c:pt>
                <c:pt idx="49">
                  <c:v>90.296294584200339</c:v>
                </c:pt>
                <c:pt idx="50">
                  <c:v>90.144956732847746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45-4182-A723-8C308C0BE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987999"/>
        <c:axId val="1200992799"/>
      </c:scatterChart>
      <c:valAx>
        <c:axId val="119549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195498000"/>
        <c:crosses val="autoZero"/>
        <c:crossBetween val="midCat"/>
      </c:valAx>
      <c:valAx>
        <c:axId val="119549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195498960"/>
        <c:crosses val="autoZero"/>
        <c:crossBetween val="midCat"/>
      </c:valAx>
      <c:valAx>
        <c:axId val="1200992799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200987999"/>
        <c:crosses val="max"/>
        <c:crossBetween val="midCat"/>
      </c:valAx>
      <c:valAx>
        <c:axId val="1200987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0992799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419100</xdr:colOff>
          <xdr:row>30</xdr:row>
          <xdr:rowOff>19050</xdr:rowOff>
        </xdr:from>
        <xdr:to>
          <xdr:col>7</xdr:col>
          <xdr:colOff>266700</xdr:colOff>
          <xdr:row>46</xdr:row>
          <xdr:rowOff>0</xdr:rowOff>
        </xdr:to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B8A23818-8AA3-BEC0-7BAB-90C9DFB6141B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Data_table!J10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19100" y="5524500"/>
              <a:ext cx="4848225" cy="287655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9</xdr:row>
      <xdr:rowOff>9524</xdr:rowOff>
    </xdr:from>
    <xdr:to>
      <xdr:col>9</xdr:col>
      <xdr:colOff>4829175</xdr:colOff>
      <xdr:row>9</xdr:row>
      <xdr:rowOff>2857499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CBBA66-EB34-4254-BB5C-F67E9564D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view="pageLayout" zoomScaleNormal="100" workbookViewId="0">
      <selection activeCell="F18" sqref="F18"/>
    </sheetView>
  </sheetViews>
  <sheetFormatPr defaultColWidth="9" defaultRowHeight="14.25" x14ac:dyDescent="0.2"/>
  <sheetData>
    <row r="1" spans="1:8" x14ac:dyDescent="0.2">
      <c r="A1" s="8"/>
      <c r="B1" s="8"/>
      <c r="C1" s="8"/>
      <c r="D1" s="8"/>
      <c r="G1" t="s">
        <v>21</v>
      </c>
      <c r="H1" s="1" t="s">
        <v>22</v>
      </c>
    </row>
    <row r="2" spans="1:8" x14ac:dyDescent="0.2">
      <c r="A2" s="7"/>
      <c r="B2" s="7"/>
    </row>
    <row r="6" spans="1:8" ht="20.25" x14ac:dyDescent="0.3">
      <c r="A6" s="6" t="s">
        <v>0</v>
      </c>
      <c r="B6" s="6"/>
      <c r="C6" s="6"/>
      <c r="D6" s="6"/>
      <c r="E6" s="6"/>
      <c r="F6" s="6"/>
      <c r="G6" s="6"/>
      <c r="H6" s="6"/>
    </row>
    <row r="8" spans="1:8" x14ac:dyDescent="0.2">
      <c r="A8" s="5" t="s">
        <v>1</v>
      </c>
      <c r="B8" s="5"/>
      <c r="C8" s="5"/>
      <c r="D8" s="17" t="s">
        <v>23</v>
      </c>
      <c r="E8" s="17"/>
      <c r="F8" s="17"/>
      <c r="G8" s="17"/>
    </row>
    <row r="9" spans="1:8" x14ac:dyDescent="0.2">
      <c r="A9" s="3"/>
      <c r="B9" s="3"/>
      <c r="C9" s="3"/>
    </row>
    <row r="10" spans="1:8" x14ac:dyDescent="0.2">
      <c r="A10" s="5" t="s">
        <v>2</v>
      </c>
      <c r="B10" s="5"/>
      <c r="C10" s="5"/>
      <c r="D10" s="16">
        <v>2.02</v>
      </c>
      <c r="E10" s="4" t="s">
        <v>3</v>
      </c>
    </row>
    <row r="11" spans="1:8" x14ac:dyDescent="0.2">
      <c r="A11" s="5" t="s">
        <v>4</v>
      </c>
      <c r="B11" s="5"/>
      <c r="C11" s="5"/>
      <c r="D11" s="16">
        <v>1.58</v>
      </c>
      <c r="E11" s="4" t="str">
        <f>E10</f>
        <v>Nm</v>
      </c>
    </row>
    <row r="12" spans="1:8" x14ac:dyDescent="0.2">
      <c r="A12" s="5" t="s">
        <v>5</v>
      </c>
      <c r="B12" s="5"/>
      <c r="C12" s="5"/>
      <c r="D12" s="16">
        <v>6000</v>
      </c>
      <c r="E12" s="4" t="s">
        <v>6</v>
      </c>
    </row>
    <row r="13" spans="1:8" x14ac:dyDescent="0.2">
      <c r="A13" s="5" t="s">
        <v>7</v>
      </c>
      <c r="B13" s="5"/>
      <c r="C13" s="5"/>
      <c r="D13" s="16">
        <v>0.71</v>
      </c>
      <c r="E13" s="4" t="s">
        <v>8</v>
      </c>
    </row>
    <row r="14" spans="1:8" x14ac:dyDescent="0.2">
      <c r="A14" s="5" t="s">
        <v>10</v>
      </c>
      <c r="B14" s="5"/>
      <c r="C14" s="5"/>
      <c r="D14" s="10">
        <f>H14*(0.90175 + 0.00393*H15)</f>
        <v>8.7407389999999996</v>
      </c>
      <c r="E14" s="4" t="s">
        <v>11</v>
      </c>
      <c r="G14" s="4" t="s">
        <v>9</v>
      </c>
      <c r="H14" s="18">
        <v>6.02</v>
      </c>
    </row>
    <row r="15" spans="1:8" x14ac:dyDescent="0.2">
      <c r="A15" s="5" t="s">
        <v>13</v>
      </c>
      <c r="B15" s="5"/>
      <c r="C15" s="5"/>
      <c r="D15" s="16">
        <v>4800</v>
      </c>
      <c r="E15" s="4" t="s">
        <v>6</v>
      </c>
      <c r="G15" s="4" t="s">
        <v>12</v>
      </c>
      <c r="H15" s="18">
        <v>140</v>
      </c>
    </row>
    <row r="16" spans="1:8" x14ac:dyDescent="0.2">
      <c r="A16" s="5" t="s">
        <v>14</v>
      </c>
      <c r="B16" s="5"/>
      <c r="C16" s="5"/>
      <c r="D16" s="16">
        <v>1.5</v>
      </c>
      <c r="E16" s="4" t="str">
        <f>E10</f>
        <v>Nm</v>
      </c>
      <c r="G16" s="4"/>
    </row>
    <row r="17" spans="1:8" x14ac:dyDescent="0.2">
      <c r="A17" s="5"/>
      <c r="B17" s="5"/>
      <c r="C17" s="5"/>
      <c r="E17" s="4"/>
      <c r="G17" s="4"/>
    </row>
    <row r="18" spans="1:8" x14ac:dyDescent="0.2">
      <c r="A18" s="5"/>
      <c r="B18" s="5"/>
      <c r="C18" s="5"/>
      <c r="E18" s="4"/>
      <c r="G18" s="4"/>
    </row>
    <row r="19" spans="1:8" x14ac:dyDescent="0.2">
      <c r="A19" s="5"/>
      <c r="B19" s="5"/>
      <c r="C19" s="5"/>
      <c r="E19" s="4"/>
      <c r="G19" s="4"/>
    </row>
    <row r="20" spans="1:8" x14ac:dyDescent="0.2">
      <c r="A20" s="5" t="s">
        <v>15</v>
      </c>
      <c r="B20" s="5"/>
      <c r="C20" s="5"/>
      <c r="D20" s="9">
        <f>1-(1.5*Res*(ST/Kt)^2)/((1.5*Res*(ST/Kt)^2)+0.707*ST*RADIANS(360*G20/60))</f>
        <v>0.90746200317195469</v>
      </c>
      <c r="E20" s="3" t="s">
        <v>16</v>
      </c>
      <c r="G20" s="11">
        <f>SQRT((ST-0.707*ST)/K)</f>
        <v>6958.8008371348797</v>
      </c>
      <c r="H20" t="s">
        <v>6</v>
      </c>
    </row>
    <row r="21" spans="1:8" x14ac:dyDescent="0.2">
      <c r="A21" s="5" t="s">
        <v>17</v>
      </c>
      <c r="B21" s="5"/>
      <c r="C21" s="5"/>
      <c r="D21" s="9">
        <f>1-(1.5*Res*(ST/Kt)^2)/((1.5*Res*(ST/Kt)^2)+RT*RS*2*PI()/60)</f>
        <v>0.90342180869214994</v>
      </c>
      <c r="E21" s="4"/>
    </row>
    <row r="22" spans="1:8" x14ac:dyDescent="0.2">
      <c r="A22" s="5" t="s">
        <v>18</v>
      </c>
      <c r="B22" s="5"/>
      <c r="C22" s="5"/>
      <c r="D22" s="9">
        <f>1-(Pcu+Pfe)/((Pcu+Pfe)+AT*AS*2*PI()/60)</f>
        <v>0.89756656398103773</v>
      </c>
      <c r="E22" s="4"/>
    </row>
    <row r="23" spans="1:8" x14ac:dyDescent="0.2">
      <c r="A23" s="5"/>
      <c r="B23" s="5"/>
      <c r="C23" s="5"/>
    </row>
    <row r="24" spans="1:8" x14ac:dyDescent="0.2">
      <c r="A24" s="5" t="s">
        <v>19</v>
      </c>
      <c r="B24" s="5"/>
      <c r="C24" s="5"/>
      <c r="D24" s="9">
        <f>Kt/SQRT(Res*1.5)</f>
        <v>0.19608241313749938</v>
      </c>
      <c r="E24" s="4" t="s">
        <v>20</v>
      </c>
    </row>
    <row r="34" spans="2:6" ht="14.25" customHeight="1" x14ac:dyDescent="0.4">
      <c r="B34" s="2"/>
      <c r="C34" s="2"/>
      <c r="D34" s="2"/>
      <c r="E34" s="2"/>
      <c r="F34" s="2"/>
    </row>
    <row r="35" spans="2:6" ht="14.25" customHeight="1" x14ac:dyDescent="0.4">
      <c r="B35" s="2"/>
      <c r="C35" s="2"/>
      <c r="D35" s="2"/>
      <c r="E35" s="2"/>
      <c r="F35" s="2"/>
    </row>
    <row r="36" spans="2:6" ht="14.25" customHeight="1" x14ac:dyDescent="0.4">
      <c r="B36" s="2"/>
      <c r="C36" s="2"/>
      <c r="D36" s="2"/>
      <c r="E36" s="2"/>
      <c r="F36" s="2"/>
    </row>
    <row r="37" spans="2:6" ht="14.25" customHeight="1" x14ac:dyDescent="0.4">
      <c r="B37" s="2"/>
      <c r="C37" s="2"/>
      <c r="D37" s="2"/>
      <c r="E37" s="2"/>
      <c r="F37" s="2"/>
    </row>
    <row r="38" spans="2:6" ht="14.25" customHeight="1" x14ac:dyDescent="0.4">
      <c r="B38" s="2"/>
      <c r="C38" s="2"/>
      <c r="D38" s="2"/>
      <c r="E38" s="2"/>
      <c r="F38" s="2"/>
    </row>
    <row r="39" spans="2:6" ht="14.25" customHeight="1" x14ac:dyDescent="0.4">
      <c r="B39" s="2"/>
      <c r="C39" s="2"/>
      <c r="D39" s="2"/>
      <c r="E39" s="2"/>
      <c r="F39" s="2"/>
    </row>
    <row r="40" spans="2:6" ht="14.25" customHeight="1" x14ac:dyDescent="0.4">
      <c r="B40" s="2"/>
      <c r="C40" s="2"/>
      <c r="D40" s="2"/>
      <c r="E40" s="2"/>
      <c r="F40" s="2"/>
    </row>
    <row r="41" spans="2:6" ht="14.25" customHeight="1" x14ac:dyDescent="0.4">
      <c r="B41" s="2"/>
      <c r="C41" s="2"/>
      <c r="D41" s="2"/>
      <c r="E41" s="2"/>
      <c r="F41" s="2"/>
    </row>
    <row r="42" spans="2:6" ht="14.25" customHeight="1" x14ac:dyDescent="0.4">
      <c r="B42" s="2"/>
      <c r="C42" s="2"/>
      <c r="D42" s="2"/>
      <c r="E42" s="2"/>
      <c r="F42" s="2"/>
    </row>
    <row r="43" spans="2:6" ht="14.25" customHeight="1" x14ac:dyDescent="0.4">
      <c r="B43" s="2"/>
      <c r="C43" s="2"/>
      <c r="D43" s="2"/>
      <c r="E43" s="2"/>
      <c r="F43" s="2"/>
    </row>
    <row r="44" spans="2:6" ht="14.25" customHeight="1" x14ac:dyDescent="0.4">
      <c r="B44" s="2"/>
      <c r="C44" s="2"/>
      <c r="D44" s="2"/>
      <c r="E44" s="2"/>
      <c r="F44" s="2"/>
    </row>
    <row r="45" spans="2:6" ht="14.25" customHeight="1" x14ac:dyDescent="0.4">
      <c r="B45" s="2"/>
      <c r="C45" s="2"/>
      <c r="D45" s="2"/>
      <c r="E45" s="2"/>
      <c r="F45" s="2"/>
    </row>
    <row r="46" spans="2:6" ht="14.25" customHeight="1" x14ac:dyDescent="0.4">
      <c r="B46" s="2"/>
      <c r="C46" s="2"/>
      <c r="D46" s="2"/>
      <c r="E46" s="2"/>
      <c r="F46" s="2"/>
    </row>
    <row r="47" spans="2:6" ht="14.25" customHeight="1" x14ac:dyDescent="0.4">
      <c r="B47" s="2"/>
      <c r="C47" s="2"/>
      <c r="D47" s="2"/>
      <c r="E47" s="2"/>
      <c r="F47" s="2"/>
    </row>
    <row r="48" spans="2:6" ht="14.25" customHeight="1" x14ac:dyDescent="0.4">
      <c r="B48" s="2"/>
      <c r="C48" s="2"/>
      <c r="D48" s="2"/>
      <c r="E48" s="2"/>
      <c r="F48" s="2"/>
    </row>
    <row r="49" spans="2:6" ht="14.25" customHeight="1" x14ac:dyDescent="0.4">
      <c r="B49" s="2"/>
      <c r="C49" s="2"/>
      <c r="D49" s="2"/>
      <c r="E49" s="2"/>
      <c r="F49" s="2"/>
    </row>
    <row r="50" spans="2:6" ht="14.25" customHeight="1" x14ac:dyDescent="0.4">
      <c r="B50" s="2"/>
      <c r="C50" s="2"/>
      <c r="D50" s="2"/>
      <c r="E50" s="2"/>
      <c r="F50" s="2"/>
    </row>
    <row r="51" spans="2:6" ht="14.25" customHeight="1" x14ac:dyDescent="0.4">
      <c r="B51" s="2"/>
      <c r="C51" s="2"/>
      <c r="D51" s="2"/>
      <c r="E51" s="2"/>
      <c r="F51" s="2"/>
    </row>
  </sheetData>
  <sheetProtection algorithmName="SHA-512" hashValue="tvqwnvaK2qYJUZREoRfXyIDJbiVW3oZWNqbFCqn8z8c2ess85xHZZJ2vP2bd52dnZfwDviXwOFt0pcbSkBKf+g==" saltValue="FgP3/z9zqwR+hNwgtVTBjA==" spinCount="100000" sheet="1" objects="1" scenarios="1"/>
  <mergeCells count="18">
    <mergeCell ref="A6:H6"/>
    <mergeCell ref="D8:G8"/>
    <mergeCell ref="A24:C24"/>
    <mergeCell ref="A8:C8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</mergeCells>
  <pageMargins left="0.70866141732283472" right="0.70866141732283472" top="0.62992125984251968" bottom="1.1023622047244095" header="0.31496062992125984" footer="0.31496062992125984"/>
  <pageSetup paperSize="9" orientation="portrait" r:id="rId1"/>
  <headerFooter>
    <oddHeader>&amp;LOxni GmbH – bewegt besser&amp;R&amp;D</oddHeader>
    <oddFooter>&amp;L&amp;G&amp;C&amp;P/&amp;N&amp;R&amp;G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5D18F-41FA-4ED2-B22A-3D32E278FC9C}">
  <dimension ref="A1:J55"/>
  <sheetViews>
    <sheetView workbookViewId="0">
      <selection activeCell="G10" sqref="G10"/>
    </sheetView>
  </sheetViews>
  <sheetFormatPr defaultRowHeight="14.25" x14ac:dyDescent="0.2"/>
  <cols>
    <col min="1" max="1" width="12.125" bestFit="1" customWidth="1"/>
    <col min="10" max="10" width="63.625" customWidth="1"/>
  </cols>
  <sheetData>
    <row r="1" spans="1:10" x14ac:dyDescent="0.2">
      <c r="A1" t="s">
        <v>25</v>
      </c>
      <c r="B1" t="s">
        <v>24</v>
      </c>
      <c r="C1" t="str">
        <f>_xlfn.CONCAT("Motor Nennmoment [",'PMSM Motor Efficiency'!E10,"]","              ")</f>
        <v xml:space="preserve">Motor Nennmoment [Nm]              </v>
      </c>
      <c r="D1" t="s">
        <v>26</v>
      </c>
      <c r="E1" t="s">
        <v>27</v>
      </c>
      <c r="F1" t="s">
        <v>28</v>
      </c>
      <c r="G1" t="s">
        <v>29</v>
      </c>
    </row>
    <row r="2" spans="1:10" x14ac:dyDescent="0.2">
      <c r="A2">
        <f>1.5*RS</f>
        <v>9000</v>
      </c>
      <c r="B2">
        <f>$A$2/50*(ROW(B2)-2)</f>
        <v>0</v>
      </c>
      <c r="C2">
        <f>IF(ST-K*B2^2&lt;=0,0,ST-K*B2^2)</f>
        <v>2.02</v>
      </c>
      <c r="D2" s="14">
        <f t="shared" ref="D2" si="0">1.5*Res*(C2/Kt)^2</f>
        <v>106.12689371830989</v>
      </c>
      <c r="E2" s="14">
        <f t="shared" ref="E2" si="1">1.5*Res*(ST/Kt)^2-1.5*Res*((ST-K*B2^2)/Kt)^2</f>
        <v>0</v>
      </c>
      <c r="F2" s="14">
        <f t="shared" ref="F2" si="2">B2*2*PI()/60*C2</f>
        <v>0</v>
      </c>
      <c r="G2" s="15">
        <f t="shared" ref="G2" si="3">(1-(D2+E2)/(F2+D2+E2))*100</f>
        <v>0</v>
      </c>
    </row>
    <row r="3" spans="1:10" x14ac:dyDescent="0.2">
      <c r="B3">
        <f t="shared" ref="B3:B57" si="4">$A$2/50*(ROW(B3)-2)</f>
        <v>180</v>
      </c>
      <c r="C3">
        <f>IF(ST-K*B3^2&lt;=0,0,ST-K*B3^2)</f>
        <v>2.0196040000000002</v>
      </c>
      <c r="D3" s="14">
        <f t="shared" ref="D3:D52" si="5">1.5*Res*(C3/Kt)^2</f>
        <v>106.08528764850023</v>
      </c>
      <c r="E3" s="14">
        <f t="shared" ref="E3:E52" si="6">1.5*Res*(ST/Kt)^2-1.5*Res*((ST-K*B3^2)/Kt)^2</f>
        <v>4.1606069809660085E-2</v>
      </c>
      <c r="F3" s="14">
        <f t="shared" ref="F3:F52" si="7">B3*2*PI()/60*C3</f>
        <v>38.06863853736337</v>
      </c>
      <c r="G3" s="14">
        <f t="shared" ref="G3:G52" si="8">(1-(D3+E3)/(F3+D3+E3))*100</f>
        <v>26.400706000976392</v>
      </c>
      <c r="J3" t="s">
        <v>30</v>
      </c>
    </row>
    <row r="4" spans="1:10" x14ac:dyDescent="0.2">
      <c r="B4">
        <f t="shared" si="4"/>
        <v>360</v>
      </c>
      <c r="C4">
        <f>IF(ST-K*B4^2&lt;=0,0,ST-K*B4^2)</f>
        <v>2.0184160000000002</v>
      </c>
      <c r="D4" s="14">
        <f t="shared" si="5"/>
        <v>105.96051838249335</v>
      </c>
      <c r="E4" s="14">
        <f t="shared" si="6"/>
        <v>0.1663753358165394</v>
      </c>
      <c r="F4" s="14">
        <f t="shared" si="7"/>
        <v>76.092490529857159</v>
      </c>
      <c r="G4" s="14">
        <f t="shared" si="8"/>
        <v>41.758724431987858</v>
      </c>
    </row>
    <row r="5" spans="1:10" x14ac:dyDescent="0.2">
      <c r="B5">
        <f t="shared" si="4"/>
        <v>540</v>
      </c>
      <c r="C5">
        <f>IF(ST-K*B5^2&lt;=0,0,ST-K*B5^2)</f>
        <v>2.0164360000000001</v>
      </c>
      <c r="D5" s="14">
        <f t="shared" si="5"/>
        <v>105.75273275055562</v>
      </c>
      <c r="E5" s="14">
        <f t="shared" si="6"/>
        <v>0.37416096775426411</v>
      </c>
      <c r="F5" s="14">
        <f t="shared" si="7"/>
        <v>114.02676943261179</v>
      </c>
      <c r="G5" s="14">
        <f t="shared" si="8"/>
        <v>51.794173124633922</v>
      </c>
    </row>
    <row r="6" spans="1:10" x14ac:dyDescent="0.2">
      <c r="B6">
        <f t="shared" si="4"/>
        <v>720</v>
      </c>
      <c r="C6">
        <f>IF(ST-K*B6^2&lt;=0,0,ST-K*B6^2)</f>
        <v>2.0136639999999999</v>
      </c>
      <c r="D6" s="14">
        <f t="shared" si="5"/>
        <v>105.46217546979756</v>
      </c>
      <c r="E6" s="14">
        <f t="shared" si="6"/>
        <v>0.66471824851232952</v>
      </c>
      <c r="F6" s="14">
        <f t="shared" si="7"/>
        <v>151.82668870075767</v>
      </c>
      <c r="G6" s="14">
        <f t="shared" si="8"/>
        <v>58.858143111229325</v>
      </c>
    </row>
    <row r="7" spans="1:10" x14ac:dyDescent="0.2">
      <c r="B7">
        <f t="shared" si="4"/>
        <v>900</v>
      </c>
      <c r="C7">
        <f>IF(ST-K*B7^2&lt;=0,0,ST-K*B7^2)</f>
        <v>2.0101</v>
      </c>
      <c r="D7" s="14">
        <f t="shared" si="5"/>
        <v>105.08918914417397</v>
      </c>
      <c r="E7" s="14">
        <f t="shared" si="6"/>
        <v>1.0377045741359154</v>
      </c>
      <c r="F7" s="14">
        <f t="shared" si="7"/>
        <v>189.44746178942529</v>
      </c>
      <c r="G7" s="14">
        <f t="shared" si="8"/>
        <v>64.094688276996834</v>
      </c>
    </row>
    <row r="8" spans="1:10" x14ac:dyDescent="0.2">
      <c r="B8">
        <f t="shared" si="4"/>
        <v>1080</v>
      </c>
      <c r="C8">
        <f>IF(ST-K*B8^2&lt;=0,0,ST-K*B8^2)</f>
        <v>2.005744</v>
      </c>
      <c r="D8" s="14">
        <f t="shared" si="5"/>
        <v>104.63421426448384</v>
      </c>
      <c r="E8" s="14">
        <f t="shared" si="6"/>
        <v>1.4926794538260424</v>
      </c>
      <c r="F8" s="14">
        <f t="shared" si="7"/>
        <v>226.84430215374502</v>
      </c>
      <c r="G8" s="14">
        <f t="shared" si="8"/>
        <v>68.127304993946254</v>
      </c>
    </row>
    <row r="9" spans="1:10" x14ac:dyDescent="0.2">
      <c r="B9">
        <f t="shared" si="4"/>
        <v>1260</v>
      </c>
      <c r="C9">
        <f>IF(ST-K*B9^2&lt;=0,0,ST-K*B9^2)</f>
        <v>2.0005959999999998</v>
      </c>
      <c r="D9" s="14">
        <f t="shared" si="5"/>
        <v>104.09778920837037</v>
      </c>
      <c r="E9" s="14">
        <f t="shared" si="6"/>
        <v>2.0291045099395149</v>
      </c>
      <c r="F9" s="14">
        <f t="shared" si="7"/>
        <v>263.97242324884729</v>
      </c>
      <c r="G9" s="14">
        <f t="shared" si="8"/>
        <v>71.324752883094988</v>
      </c>
    </row>
    <row r="10" spans="1:10" ht="226.5" customHeight="1" x14ac:dyDescent="0.2">
      <c r="B10">
        <f t="shared" si="4"/>
        <v>1440</v>
      </c>
      <c r="C10">
        <f>IF(ST-K*B10^2&lt;=0,0,ST-K*B10^2)</f>
        <v>1.994656</v>
      </c>
      <c r="D10" s="14">
        <f t="shared" si="5"/>
        <v>103.48055024032115</v>
      </c>
      <c r="E10" s="14">
        <f t="shared" si="6"/>
        <v>2.6463434779887365</v>
      </c>
      <c r="F10" s="14">
        <f t="shared" si="7"/>
        <v>300.78703852986251</v>
      </c>
      <c r="G10" s="14">
        <f t="shared" si="8"/>
        <v>73.9190808405193</v>
      </c>
    </row>
    <row r="11" spans="1:10" x14ac:dyDescent="0.2">
      <c r="B11">
        <f t="shared" si="4"/>
        <v>1620</v>
      </c>
      <c r="C11">
        <f>IF(ST-K*B11^2&lt;=0,0,ST-K*B11^2)</f>
        <v>1.987924</v>
      </c>
      <c r="D11" s="14">
        <f t="shared" si="5"/>
        <v>102.78323151166767</v>
      </c>
      <c r="E11" s="14">
        <f t="shared" si="6"/>
        <v>3.3436622066422217</v>
      </c>
      <c r="F11" s="14">
        <f t="shared" si="7"/>
        <v>337.24336145192115</v>
      </c>
      <c r="G11" s="14">
        <f t="shared" si="8"/>
        <v>76.063596400357824</v>
      </c>
    </row>
    <row r="12" spans="1:10" x14ac:dyDescent="0.2">
      <c r="B12">
        <f t="shared" si="4"/>
        <v>1800</v>
      </c>
      <c r="C12">
        <f>IF(ST-K*B12^2&lt;=0,0,ST-K*B12^2)</f>
        <v>1.9803999999999999</v>
      </c>
      <c r="D12" s="14">
        <f t="shared" si="5"/>
        <v>102.00666506058592</v>
      </c>
      <c r="E12" s="14">
        <f t="shared" si="6"/>
        <v>4.1202286577239704</v>
      </c>
      <c r="F12" s="14">
        <f t="shared" si="7"/>
        <v>373.29660547015357</v>
      </c>
      <c r="G12" s="14">
        <f t="shared" si="8"/>
        <v>77.863643751723785</v>
      </c>
    </row>
    <row r="13" spans="1:10" x14ac:dyDescent="0.2">
      <c r="B13">
        <f t="shared" si="4"/>
        <v>1980</v>
      </c>
      <c r="C13">
        <f>IF(ST-K*B13^2&lt;=0,0,ST-K*B13^2)</f>
        <v>1.9720839999999999</v>
      </c>
      <c r="D13" s="14">
        <f t="shared" si="5"/>
        <v>101.15178081209602</v>
      </c>
      <c r="E13" s="14">
        <f t="shared" si="6"/>
        <v>4.9751129062138659</v>
      </c>
      <c r="F13" s="14">
        <f t="shared" si="7"/>
        <v>408.90198403969026</v>
      </c>
      <c r="G13" s="14">
        <f t="shared" si="8"/>
        <v>79.393991618431841</v>
      </c>
    </row>
    <row r="14" spans="1:10" x14ac:dyDescent="0.2">
      <c r="B14">
        <f t="shared" si="4"/>
        <v>2160</v>
      </c>
      <c r="C14">
        <f>IF(ST-K*B14^2&lt;=0,0,ST-K*B14^2)</f>
        <v>1.9629760000000001</v>
      </c>
      <c r="D14" s="14">
        <f t="shared" si="5"/>
        <v>100.21960657806231</v>
      </c>
      <c r="E14" s="14">
        <f t="shared" si="6"/>
        <v>5.9072871402475755</v>
      </c>
      <c r="F14" s="14">
        <f t="shared" si="7"/>
        <v>444.01471061566161</v>
      </c>
      <c r="G14" s="14">
        <f t="shared" si="8"/>
        <v>80.709167806570022</v>
      </c>
    </row>
    <row r="15" spans="1:10" x14ac:dyDescent="0.2">
      <c r="B15">
        <f t="shared" si="4"/>
        <v>2340</v>
      </c>
      <c r="C15">
        <f>IF(ST-K*B15^2&lt;=0,0,ST-K*B15^2)</f>
        <v>1.953076</v>
      </c>
      <c r="D15" s="14">
        <f t="shared" si="5"/>
        <v>99.21126805719328</v>
      </c>
      <c r="E15" s="14">
        <f t="shared" si="6"/>
        <v>6.9156256611166071</v>
      </c>
      <c r="F15" s="14">
        <f t="shared" si="7"/>
        <v>478.58999865319799</v>
      </c>
      <c r="G15" s="14">
        <f t="shared" si="8"/>
        <v>81.84986698641832</v>
      </c>
    </row>
    <row r="16" spans="1:10" x14ac:dyDescent="0.2">
      <c r="B16">
        <f t="shared" si="4"/>
        <v>2520</v>
      </c>
      <c r="C16">
        <f>IF(ST-K*B16^2&lt;=0,0,ST-K*B16^2)</f>
        <v>1.9423840000000001</v>
      </c>
      <c r="D16" s="14">
        <f t="shared" si="5"/>
        <v>98.127988835041862</v>
      </c>
      <c r="E16" s="14">
        <f t="shared" si="6"/>
        <v>7.9989048832680254</v>
      </c>
      <c r="F16" s="14">
        <f t="shared" si="7"/>
        <v>512.58306160743007</v>
      </c>
      <c r="G16" s="14">
        <f t="shared" si="8"/>
        <v>82.847068678176356</v>
      </c>
    </row>
    <row r="17" spans="2:7" x14ac:dyDescent="0.2">
      <c r="B17">
        <f t="shared" si="4"/>
        <v>2700</v>
      </c>
      <c r="C17">
        <f>IF(ST-K*B17^2&lt;=0,0,ST-K*B17^2)</f>
        <v>1.9309000000000001</v>
      </c>
      <c r="D17" s="14">
        <f t="shared" si="5"/>
        <v>96.971090384004938</v>
      </c>
      <c r="E17" s="14">
        <f t="shared" si="6"/>
        <v>9.1558033343049487</v>
      </c>
      <c r="F17" s="14">
        <f t="shared" si="7"/>
        <v>545.94911293348787</v>
      </c>
      <c r="G17" s="14">
        <f t="shared" si="8"/>
        <v>83.724766340777109</v>
      </c>
    </row>
    <row r="18" spans="2:7" x14ac:dyDescent="0.2">
      <c r="B18">
        <f t="shared" si="4"/>
        <v>2880</v>
      </c>
      <c r="C18">
        <f>IF(ST-K*B18^2&lt;=0,0,ST-K*B18^2)</f>
        <v>1.9186240000000001</v>
      </c>
      <c r="D18" s="14">
        <f t="shared" si="5"/>
        <v>95.741992063323821</v>
      </c>
      <c r="E18" s="14">
        <f t="shared" si="6"/>
        <v>10.384901654986066</v>
      </c>
      <c r="F18" s="14">
        <f t="shared" si="7"/>
        <v>578.64336608650206</v>
      </c>
      <c r="G18" s="14">
        <f t="shared" si="8"/>
        <v>84.501824926135001</v>
      </c>
    </row>
    <row r="19" spans="2:7" x14ac:dyDescent="0.2">
      <c r="B19">
        <f t="shared" si="4"/>
        <v>3060</v>
      </c>
      <c r="C19">
        <f>IF(ST-K*B19^2&lt;=0,0,ST-K*B19^2)</f>
        <v>1.905556</v>
      </c>
      <c r="D19" s="14">
        <f t="shared" si="5"/>
        <v>94.442211119083922</v>
      </c>
      <c r="E19" s="14">
        <f t="shared" si="6"/>
        <v>11.684682599225965</v>
      </c>
      <c r="F19" s="14">
        <f t="shared" si="7"/>
        <v>610.62103452160306</v>
      </c>
      <c r="G19" s="14">
        <f t="shared" si="8"/>
        <v>85.193275133850605</v>
      </c>
    </row>
    <row r="20" spans="2:7" x14ac:dyDescent="0.2">
      <c r="B20">
        <f t="shared" si="4"/>
        <v>3240</v>
      </c>
      <c r="C20">
        <f>IF(ST-K*B20^2&lt;=0,0,ST-K*B20^2)</f>
        <v>1.891696</v>
      </c>
      <c r="D20" s="14">
        <f t="shared" si="5"/>
        <v>93.073362684214942</v>
      </c>
      <c r="E20" s="14">
        <f t="shared" si="6"/>
        <v>13.053531034094945</v>
      </c>
      <c r="F20" s="14">
        <f t="shared" si="7"/>
        <v>641.83733169392133</v>
      </c>
      <c r="G20" s="14">
        <f t="shared" si="8"/>
        <v>85.811233998548602</v>
      </c>
    </row>
    <row r="21" spans="2:7" x14ac:dyDescent="0.2">
      <c r="B21">
        <f t="shared" si="4"/>
        <v>3420</v>
      </c>
      <c r="C21">
        <f>IF(ST-K*B21^2&lt;=0,0,ST-K*B21^2)</f>
        <v>1.8770440000000002</v>
      </c>
      <c r="D21" s="14">
        <f t="shared" si="5"/>
        <v>91.637159778490812</v>
      </c>
      <c r="E21" s="14">
        <f t="shared" si="6"/>
        <v>14.489733939819075</v>
      </c>
      <c r="F21" s="14">
        <f t="shared" si="7"/>
        <v>672.24747105858728</v>
      </c>
      <c r="G21" s="14">
        <f t="shared" si="8"/>
        <v>86.365571822405968</v>
      </c>
    </row>
    <row r="22" spans="2:7" x14ac:dyDescent="0.2">
      <c r="B22">
        <f t="shared" si="4"/>
        <v>3600</v>
      </c>
      <c r="C22">
        <f>IF(ST-K*B22^2&lt;=0,0,ST-K*B22^2)</f>
        <v>1.8616000000000001</v>
      </c>
      <c r="D22" s="14">
        <f t="shared" si="5"/>
        <v>90.135413308529607</v>
      </c>
      <c r="E22" s="14">
        <f t="shared" si="6"/>
        <v>15.99148040978028</v>
      </c>
      <c r="F22" s="14">
        <f t="shared" si="7"/>
        <v>701.80666607073101</v>
      </c>
      <c r="G22" s="14">
        <f t="shared" si="8"/>
        <v>86.864403337073824</v>
      </c>
    </row>
    <row r="23" spans="2:7" x14ac:dyDescent="0.2">
      <c r="B23">
        <f t="shared" si="4"/>
        <v>3780</v>
      </c>
      <c r="C23">
        <f>IF(ST-K*B23^2&lt;=0,0,ST-K*B23^2)</f>
        <v>1.845364</v>
      </c>
      <c r="D23" s="14">
        <f t="shared" si="5"/>
        <v>88.570032067793676</v>
      </c>
      <c r="E23" s="14">
        <f t="shared" si="6"/>
        <v>17.556861650516211</v>
      </c>
      <c r="F23" s="14">
        <f t="shared" si="7"/>
        <v>730.47013018548341</v>
      </c>
      <c r="G23" s="14">
        <f t="shared" si="8"/>
        <v>87.314454786954371</v>
      </c>
    </row>
    <row r="24" spans="2:7" x14ac:dyDescent="0.2">
      <c r="B24">
        <f t="shared" si="4"/>
        <v>3960</v>
      </c>
      <c r="C24">
        <f>IF(ST-K*B24^2&lt;=0,0,ST-K*B24^2)</f>
        <v>1.828336</v>
      </c>
      <c r="D24" s="14">
        <f t="shared" si="5"/>
        <v>86.943022736589654</v>
      </c>
      <c r="E24" s="14">
        <f t="shared" si="6"/>
        <v>19.183870981720233</v>
      </c>
      <c r="F24" s="14">
        <f t="shared" si="7"/>
        <v>758.19307685797469</v>
      </c>
      <c r="G24" s="14">
        <f t="shared" si="8"/>
        <v>87.721341941509252</v>
      </c>
    </row>
    <row r="25" spans="2:7" x14ac:dyDescent="0.2">
      <c r="B25">
        <f>$A$2/50*(ROW(B25)-2)</f>
        <v>4140</v>
      </c>
      <c r="C25">
        <f>IF(ST-K*B25^2&lt;=0,0,ST-K*B25^2)</f>
        <v>1.810516</v>
      </c>
      <c r="D25" s="14">
        <f t="shared" si="5"/>
        <v>85.25648988206828</v>
      </c>
      <c r="E25" s="14">
        <f t="shared" si="6"/>
        <v>20.870403836241607</v>
      </c>
      <c r="F25" s="14">
        <f t="shared" si="7"/>
        <v>784.93071954333539</v>
      </c>
      <c r="G25" s="14">
        <f t="shared" si="8"/>
        <v>88.08978318137693</v>
      </c>
    </row>
    <row r="26" spans="2:7" x14ac:dyDescent="0.2">
      <c r="B26">
        <f t="shared" si="4"/>
        <v>4320</v>
      </c>
      <c r="C26">
        <f>IF(ST-K*B26^2&lt;=0,0,ST-K*B26^2)</f>
        <v>1.7919040000000002</v>
      </c>
      <c r="D26" s="14">
        <f t="shared" si="5"/>
        <v>83.512635958224649</v>
      </c>
      <c r="E26" s="14">
        <f t="shared" si="6"/>
        <v>22.614257760085238</v>
      </c>
      <c r="F26" s="14">
        <f t="shared" si="7"/>
        <v>810.63827169669582</v>
      </c>
      <c r="G26" s="14">
        <f t="shared" si="8"/>
        <v>88.423764588582742</v>
      </c>
    </row>
    <row r="27" spans="2:7" x14ac:dyDescent="0.2">
      <c r="B27">
        <f t="shared" si="4"/>
        <v>4500</v>
      </c>
      <c r="C27">
        <f>IF(ST-K*B27^2&lt;=0,0,ST-K*B27^2)</f>
        <v>1.7725</v>
      </c>
      <c r="D27" s="14">
        <f t="shared" si="5"/>
        <v>81.71376130589789</v>
      </c>
      <c r="E27" s="14">
        <f t="shared" si="6"/>
        <v>24.413132412411997</v>
      </c>
      <c r="F27" s="14">
        <f t="shared" si="7"/>
        <v>835.27094677318632</v>
      </c>
      <c r="G27" s="14">
        <f t="shared" si="8"/>
        <v>88.726669092112871</v>
      </c>
    </row>
    <row r="28" spans="2:7" x14ac:dyDescent="0.2">
      <c r="B28">
        <f t="shared" si="4"/>
        <v>4680</v>
      </c>
      <c r="C28">
        <f>IF(ST-K*B28^2&lt;=0,0,ST-K*B28^2)</f>
        <v>1.7523040000000001</v>
      </c>
      <c r="D28" s="14">
        <f t="shared" si="5"/>
        <v>79.862264152771559</v>
      </c>
      <c r="E28" s="14">
        <f t="shared" si="6"/>
        <v>26.264629565538328</v>
      </c>
      <c r="F28" s="14">
        <f t="shared" si="7"/>
        <v>858.78395822793743</v>
      </c>
      <c r="G28" s="14">
        <f t="shared" si="8"/>
        <v>89.001378365239702</v>
      </c>
    </row>
    <row r="29" spans="2:7" x14ac:dyDescent="0.2">
      <c r="B29">
        <f t="shared" si="4"/>
        <v>4860</v>
      </c>
      <c r="C29">
        <f>IF(ST-K*B29^2&lt;=0,0,ST-K*B29^2)</f>
        <v>1.7313160000000001</v>
      </c>
      <c r="D29" s="14">
        <f t="shared" si="5"/>
        <v>77.960640613373315</v>
      </c>
      <c r="E29" s="14">
        <f t="shared" si="6"/>
        <v>28.166253104936573</v>
      </c>
      <c r="F29" s="14">
        <f t="shared" si="7"/>
        <v>881.13251951607958</v>
      </c>
      <c r="G29" s="14">
        <f t="shared" si="8"/>
        <v>89.250353828420387</v>
      </c>
    </row>
    <row r="30" spans="2:7" x14ac:dyDescent="0.2">
      <c r="B30">
        <f t="shared" si="4"/>
        <v>5040</v>
      </c>
      <c r="C30">
        <f>IF(ST-K*B30^2&lt;=0,0,ST-K*B30^2)</f>
        <v>1.7095359999999999</v>
      </c>
      <c r="D30" s="14">
        <f t="shared" si="5"/>
        <v>76.011484689075075</v>
      </c>
      <c r="E30" s="14">
        <f t="shared" si="6"/>
        <v>30.115409029234812</v>
      </c>
      <c r="F30" s="14">
        <f t="shared" si="7"/>
        <v>902.27184409274321</v>
      </c>
      <c r="G30" s="14">
        <f t="shared" si="8"/>
        <v>89.475701452316244</v>
      </c>
    </row>
    <row r="31" spans="2:7" x14ac:dyDescent="0.2">
      <c r="B31">
        <f t="shared" si="4"/>
        <v>5220</v>
      </c>
      <c r="C31">
        <f>IF(ST-K*B31^2&lt;=0,0,ST-K*B31^2)</f>
        <v>1.6869640000000001</v>
      </c>
      <c r="D31" s="14">
        <f t="shared" si="5"/>
        <v>74.017488268092961</v>
      </c>
      <c r="E31" s="14">
        <f t="shared" si="6"/>
        <v>32.109405450216926</v>
      </c>
      <c r="F31" s="14">
        <f t="shared" si="7"/>
        <v>922.15714541305863</v>
      </c>
      <c r="G31" s="14">
        <f t="shared" si="8"/>
        <v>89.679223864258418</v>
      </c>
    </row>
    <row r="32" spans="2:7" x14ac:dyDescent="0.2">
      <c r="B32">
        <f t="shared" si="4"/>
        <v>5400</v>
      </c>
      <c r="C32">
        <f>IF(ST-K*B32^2&lt;=0,0,ST-K*B32^2)</f>
        <v>1.6636000000000002</v>
      </c>
      <c r="D32" s="14">
        <f t="shared" si="5"/>
        <v>71.981441125487351</v>
      </c>
      <c r="E32" s="14">
        <f t="shared" si="6"/>
        <v>34.145452592822537</v>
      </c>
      <c r="F32" s="14">
        <f t="shared" si="7"/>
        <v>940.74363693215651</v>
      </c>
      <c r="G32" s="14">
        <f t="shared" si="8"/>
        <v>89.862462395195266</v>
      </c>
    </row>
    <row r="33" spans="1:7" x14ac:dyDescent="0.2">
      <c r="B33">
        <f t="shared" si="4"/>
        <v>5580</v>
      </c>
      <c r="C33">
        <f>IF(ST-K*B33^2&lt;=0,0,ST-K*B33^2)</f>
        <v>1.6394440000000001</v>
      </c>
      <c r="D33" s="14">
        <f t="shared" si="5"/>
        <v>69.906230923162795</v>
      </c>
      <c r="E33" s="14">
        <f t="shared" si="6"/>
        <v>36.220662795147092</v>
      </c>
      <c r="F33" s="14">
        <f t="shared" si="7"/>
        <v>957.98653210516682</v>
      </c>
      <c r="G33" s="14">
        <f t="shared" si="8"/>
        <v>90.026731066175358</v>
      </c>
    </row>
    <row r="34" spans="1:7" x14ac:dyDescent="0.2">
      <c r="B34">
        <f t="shared" si="4"/>
        <v>5760</v>
      </c>
      <c r="C34">
        <f>IF(ST-K*B34^2&lt;=0,0,ST-K*B34^2)</f>
        <v>1.6144960000000002</v>
      </c>
      <c r="D34" s="14">
        <f t="shared" si="5"/>
        <v>67.794843209868134</v>
      </c>
      <c r="E34" s="14">
        <f t="shared" si="6"/>
        <v>38.332050508441753</v>
      </c>
      <c r="F34" s="14">
        <f t="shared" si="7"/>
        <v>973.84104438722056</v>
      </c>
      <c r="G34" s="14">
        <f t="shared" si="8"/>
        <v>90.173144037546464</v>
      </c>
    </row>
    <row r="35" spans="1:7" x14ac:dyDescent="0.2">
      <c r="B35">
        <f t="shared" si="4"/>
        <v>5940</v>
      </c>
      <c r="C35">
        <f>IF(ST-K*B35^2&lt;=0,0,ST-K*B35^2)</f>
        <v>1.5887560000000001</v>
      </c>
      <c r="D35" s="14">
        <f t="shared" si="5"/>
        <v>65.650361421196365</v>
      </c>
      <c r="E35" s="14">
        <f t="shared" si="6"/>
        <v>40.476532297113522</v>
      </c>
      <c r="F35" s="14">
        <f t="shared" si="7"/>
        <v>988.26238723344773</v>
      </c>
      <c r="G35" s="14">
        <f t="shared" si="8"/>
        <v>90.302637684278622</v>
      </c>
    </row>
    <row r="36" spans="1:7" x14ac:dyDescent="0.2">
      <c r="A36" s="12"/>
      <c r="B36">
        <f t="shared" si="4"/>
        <v>6120</v>
      </c>
      <c r="C36">
        <f>IF(ST-K*B36^2&lt;=0,0,ST-K*B36^2)</f>
        <v>1.5622240000000001</v>
      </c>
      <c r="D36" s="14">
        <f t="shared" si="5"/>
        <v>63.475966879584782</v>
      </c>
      <c r="E36" s="14">
        <f t="shared" si="6"/>
        <v>42.650926838725105</v>
      </c>
      <c r="F36" s="14">
        <f t="shared" si="7"/>
        <v>1001.2057740989788</v>
      </c>
      <c r="G36" s="14">
        <f t="shared" si="8"/>
        <v>90.41598818469781</v>
      </c>
    </row>
    <row r="37" spans="1:7" x14ac:dyDescent="0.2">
      <c r="A37" s="12"/>
      <c r="B37">
        <f t="shared" si="4"/>
        <v>6300</v>
      </c>
      <c r="C37">
        <f>IF(ST-K*B37^2&lt;=0,0,ST-K*B37^2)</f>
        <v>1.5349000000000002</v>
      </c>
      <c r="D37" s="14">
        <f t="shared" si="5"/>
        <v>61.274938794314814</v>
      </c>
      <c r="E37" s="14">
        <f t="shared" si="6"/>
        <v>44.851954923995073</v>
      </c>
      <c r="F37" s="14">
        <f t="shared" si="7"/>
        <v>1012.6264184389446</v>
      </c>
      <c r="G37" s="14">
        <f t="shared" si="8"/>
        <v>90.513825294186717</v>
      </c>
    </row>
    <row r="38" spans="1:7" x14ac:dyDescent="0.2">
      <c r="A38" s="12"/>
      <c r="B38">
        <f t="shared" si="4"/>
        <v>6480</v>
      </c>
      <c r="C38">
        <f>IF(ST-K*B38^2&lt;=0,0,ST-K*B38^2)</f>
        <v>1.5067840000000001</v>
      </c>
      <c r="D38" s="14">
        <f t="shared" si="5"/>
        <v>59.050654261512172</v>
      </c>
      <c r="E38" s="14">
        <f t="shared" si="6"/>
        <v>47.076239456797715</v>
      </c>
      <c r="F38" s="14">
        <f t="shared" si="7"/>
        <v>1022.4795337084749</v>
      </c>
      <c r="G38" s="14">
        <f t="shared" si="8"/>
        <v>90.596642803082517</v>
      </c>
    </row>
    <row r="39" spans="1:7" ht="15" x14ac:dyDescent="0.25">
      <c r="A39" s="13"/>
      <c r="B39">
        <f t="shared" si="4"/>
        <v>6660</v>
      </c>
      <c r="C39">
        <f>IF(ST-K*B39^2&lt;=0,0,ST-K*B39^2)</f>
        <v>1.4778760000000002</v>
      </c>
      <c r="D39" s="14">
        <f t="shared" si="5"/>
        <v>56.806588264146797</v>
      </c>
      <c r="E39" s="14">
        <f t="shared" si="6"/>
        <v>49.320305454163091</v>
      </c>
      <c r="F39" s="14">
        <f t="shared" si="7"/>
        <v>1030.7203333627008</v>
      </c>
      <c r="G39" s="14">
        <f t="shared" si="8"/>
        <v>90.66480603635695</v>
      </c>
    </row>
    <row r="40" spans="1:7" ht="15" x14ac:dyDescent="0.25">
      <c r="A40" s="13"/>
      <c r="B40">
        <f t="shared" si="4"/>
        <v>6840</v>
      </c>
      <c r="C40">
        <f>IF(ST-K*B40^2&lt;=0,0,ST-K*B40^2)</f>
        <v>1.4481760000000001</v>
      </c>
      <c r="D40" s="14">
        <f t="shared" si="5"/>
        <v>54.546313672032767</v>
      </c>
      <c r="E40" s="14">
        <f t="shared" si="6"/>
        <v>51.58058004627712</v>
      </c>
      <c r="F40" s="14">
        <f t="shared" si="7"/>
        <v>1037.3040308567522</v>
      </c>
      <c r="G40" s="14">
        <f t="shared" si="8"/>
        <v>90.71855663185336</v>
      </c>
    </row>
    <row r="41" spans="1:7" ht="15" x14ac:dyDescent="0.25">
      <c r="A41" s="13"/>
      <c r="B41">
        <f t="shared" si="4"/>
        <v>7020</v>
      </c>
      <c r="C41">
        <f>IF(ST-K*B41^2&lt;=0,0,ST-K*B41^2)</f>
        <v>1.4176840000000002</v>
      </c>
      <c r="D41" s="14">
        <f t="shared" si="5"/>
        <v>52.273501241828534</v>
      </c>
      <c r="E41" s="14">
        <f t="shared" si="6"/>
        <v>53.853392476481353</v>
      </c>
      <c r="F41" s="14">
        <f t="shared" si="7"/>
        <v>1042.1858396457594</v>
      </c>
      <c r="G41" s="14">
        <f t="shared" si="8"/>
        <v>90.758014725883683</v>
      </c>
    </row>
    <row r="42" spans="1:7" ht="15" x14ac:dyDescent="0.25">
      <c r="A42" s="13"/>
      <c r="B42">
        <f t="shared" si="4"/>
        <v>7200</v>
      </c>
      <c r="C42">
        <f>IF(ST-K*B42^2&lt;=0,0,ST-K*B42^2)</f>
        <v>1.3864000000000001</v>
      </c>
      <c r="D42" s="14">
        <f t="shared" si="5"/>
        <v>49.991919617036629</v>
      </c>
      <c r="E42" s="14">
        <f t="shared" si="6"/>
        <v>56.134974101273258</v>
      </c>
      <c r="F42" s="14">
        <f t="shared" si="7"/>
        <v>1045.3209731848533</v>
      </c>
      <c r="G42" s="14">
        <f t="shared" si="8"/>
        <v>90.78317857292663</v>
      </c>
    </row>
    <row r="43" spans="1:7" x14ac:dyDescent="0.2">
      <c r="A43" s="12"/>
      <c r="B43">
        <f t="shared" si="4"/>
        <v>7380</v>
      </c>
      <c r="C43">
        <f>IF(ST-K*B43^2&lt;=0,0,ST-K*B43^2)</f>
        <v>1.3543240000000001</v>
      </c>
      <c r="D43" s="14">
        <f t="shared" si="5"/>
        <v>47.705435328003887</v>
      </c>
      <c r="E43" s="14">
        <f t="shared" si="6"/>
        <v>58.421458390306</v>
      </c>
      <c r="F43" s="14">
        <f t="shared" si="7"/>
        <v>1046.6646449291645</v>
      </c>
      <c r="G43" s="14">
        <f t="shared" si="8"/>
        <v>90.793921523502462</v>
      </c>
    </row>
    <row r="44" spans="1:7" x14ac:dyDescent="0.2">
      <c r="A44" s="12"/>
      <c r="B44">
        <f t="shared" si="4"/>
        <v>7560</v>
      </c>
      <c r="C44">
        <f>IF(ST-K*B44^2&lt;=0,0,ST-K*B44^2)</f>
        <v>1.321456</v>
      </c>
      <c r="D44" s="14">
        <f t="shared" si="5"/>
        <v>45.418012791921342</v>
      </c>
      <c r="E44" s="14">
        <f t="shared" si="6"/>
        <v>60.708880926388545</v>
      </c>
      <c r="F44" s="14">
        <f t="shared" si="7"/>
        <v>1046.1720683338226</v>
      </c>
      <c r="G44" s="14">
        <f t="shared" si="8"/>
        <v>90.789986174307728</v>
      </c>
    </row>
    <row r="45" spans="1:7" ht="15" x14ac:dyDescent="0.25">
      <c r="A45" s="13"/>
      <c r="B45">
        <f t="shared" si="4"/>
        <v>7740</v>
      </c>
      <c r="C45">
        <f>IF(ST-K*B45^2&lt;=0,0,ST-K*B45^2)</f>
        <v>1.2877960000000002</v>
      </c>
      <c r="D45" s="14">
        <f t="shared" si="5"/>
        <v>43.133714312824274</v>
      </c>
      <c r="E45" s="14">
        <f t="shared" si="6"/>
        <v>62.993179405485613</v>
      </c>
      <c r="F45" s="14">
        <f t="shared" si="7"/>
        <v>1043.7984568539589</v>
      </c>
      <c r="G45" s="14">
        <f t="shared" si="8"/>
        <v>90.770975379793555</v>
      </c>
    </row>
    <row r="46" spans="1:7" x14ac:dyDescent="0.2">
      <c r="A46" s="12"/>
      <c r="B46">
        <f t="shared" si="4"/>
        <v>7920</v>
      </c>
      <c r="C46">
        <f>IF(ST-K*B46^2&lt;=0,0,ST-K*B46^2)</f>
        <v>1.2533440000000002</v>
      </c>
      <c r="D46" s="14">
        <f t="shared" si="5"/>
        <v>40.856700081592123</v>
      </c>
      <c r="E46" s="14">
        <f t="shared" si="6"/>
        <v>65.270193636717764</v>
      </c>
      <c r="F46" s="14">
        <f t="shared" si="7"/>
        <v>1039.4990239447036</v>
      </c>
      <c r="G46" s="14">
        <f t="shared" si="8"/>
        <v>90.736339665324579</v>
      </c>
    </row>
    <row r="47" spans="1:7" x14ac:dyDescent="0.2">
      <c r="A47" s="12"/>
      <c r="B47">
        <f t="shared" si="4"/>
        <v>8100</v>
      </c>
      <c r="C47">
        <f>IF(ST-K*B47^2&lt;=0,0,ST-K*B47^2)</f>
        <v>1.2181000000000002</v>
      </c>
      <c r="D47" s="14">
        <f t="shared" si="5"/>
        <v>38.591228175948608</v>
      </c>
      <c r="E47" s="14">
        <f t="shared" si="6"/>
        <v>67.535665542361272</v>
      </c>
      <c r="F47" s="14">
        <f t="shared" si="7"/>
        <v>1033.2289830611865</v>
      </c>
      <c r="G47" s="14">
        <f t="shared" si="8"/>
        <v>90.685360396938648</v>
      </c>
    </row>
    <row r="48" spans="1:7" x14ac:dyDescent="0.2">
      <c r="A48" s="12"/>
      <c r="B48">
        <f t="shared" si="4"/>
        <v>8280</v>
      </c>
      <c r="C48">
        <f>IF(ST-K*B48^2&lt;=0,0,ST-K*B48^2)</f>
        <v>1.182064</v>
      </c>
      <c r="D48" s="14">
        <f t="shared" si="5"/>
        <v>36.341654560461649</v>
      </c>
      <c r="E48" s="14">
        <f t="shared" si="6"/>
        <v>69.785239157848238</v>
      </c>
      <c r="F48" s="14">
        <f t="shared" si="7"/>
        <v>1024.9435476585384</v>
      </c>
      <c r="G48" s="14">
        <f t="shared" si="8"/>
        <v>90.617127825467534</v>
      </c>
    </row>
    <row r="49" spans="1:7" x14ac:dyDescent="0.2">
      <c r="A49" s="12"/>
      <c r="B49">
        <f t="shared" si="4"/>
        <v>8460</v>
      </c>
      <c r="C49">
        <f>IF(ST-K*B49^2&lt;=0,0,ST-K*B49^2)</f>
        <v>1.1452360000000001</v>
      </c>
      <c r="D49" s="14">
        <f t="shared" si="5"/>
        <v>34.112433086543433</v>
      </c>
      <c r="E49" s="14">
        <f t="shared" si="6"/>
        <v>72.014460631766454</v>
      </c>
      <c r="F49" s="14">
        <f t="shared" si="7"/>
        <v>1014.5979311918902</v>
      </c>
      <c r="G49" s="14">
        <f t="shared" si="8"/>
        <v>90.530512811044986</v>
      </c>
    </row>
    <row r="50" spans="1:7" x14ac:dyDescent="0.2">
      <c r="A50" s="12"/>
      <c r="B50">
        <f t="shared" si="4"/>
        <v>8640</v>
      </c>
      <c r="C50">
        <f>IF(ST-K*B50^2&lt;=0,0,ST-K*B50^2)</f>
        <v>1.1076160000000002</v>
      </c>
      <c r="D50" s="14">
        <f t="shared" si="5"/>
        <v>31.908115492450307</v>
      </c>
      <c r="E50" s="14">
        <f t="shared" si="6"/>
        <v>74.21877822585958</v>
      </c>
      <c r="F50" s="14">
        <f t="shared" si="7"/>
        <v>1002.1473471163716</v>
      </c>
      <c r="G50" s="14">
        <f t="shared" si="8"/>
        <v>90.424130616048444</v>
      </c>
    </row>
    <row r="51" spans="1:7" x14ac:dyDescent="0.2">
      <c r="A51" s="12"/>
      <c r="B51">
        <f t="shared" si="4"/>
        <v>8820</v>
      </c>
      <c r="C51">
        <f>IF(ST-K*B51^2&lt;=0,0,ST-K*B51^2)</f>
        <v>1.069204</v>
      </c>
      <c r="D51" s="14">
        <f t="shared" si="5"/>
        <v>29.73335140328285</v>
      </c>
      <c r="E51" s="14">
        <f t="shared" si="6"/>
        <v>76.393542315027034</v>
      </c>
      <c r="F51" s="14">
        <f t="shared" si="7"/>
        <v>987.54700888711352</v>
      </c>
      <c r="G51" s="14">
        <f t="shared" si="8"/>
        <v>90.296294584200339</v>
      </c>
    </row>
    <row r="52" spans="1:7" x14ac:dyDescent="0.2">
      <c r="A52" s="12"/>
      <c r="B52">
        <f t="shared" si="4"/>
        <v>9000</v>
      </c>
      <c r="C52">
        <f>IF(ST-K*B52^2&lt;=0,0,ST-K*B52^2)</f>
        <v>1.0300000000000002</v>
      </c>
      <c r="D52" s="14">
        <f t="shared" si="5"/>
        <v>27.592888330985936</v>
      </c>
      <c r="E52" s="14">
        <f t="shared" si="6"/>
        <v>78.534005387323958</v>
      </c>
      <c r="F52" s="14">
        <f t="shared" si="7"/>
        <v>970.75212995924642</v>
      </c>
      <c r="G52" s="14">
        <f t="shared" si="8"/>
        <v>90.144956732847746</v>
      </c>
    </row>
    <row r="53" spans="1:7" x14ac:dyDescent="0.2">
      <c r="A53" s="12"/>
    </row>
    <row r="54" spans="1:7" x14ac:dyDescent="0.2">
      <c r="A54" s="12"/>
    </row>
    <row r="55" spans="1:7" x14ac:dyDescent="0.2">
      <c r="A55" s="12"/>
    </row>
  </sheetData>
  <sheetProtection algorithmName="SHA-512" hashValue="YsPyZxwAbxUGk8a4hsX+F/A7te6tKHy9Tf8A4txmCRep/tvFtfRvXS/K/UZP78bN5aWNPS1DqRv5Fkytv4jcQQ==" saltValue="wmopcQDG4ftSGaoKAPPwi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PMSM Motor Efficiency</vt:lpstr>
      <vt:lpstr>Data_table</vt:lpstr>
      <vt:lpstr>AS</vt:lpstr>
      <vt:lpstr>AT</vt:lpstr>
      <vt:lpstr>Kt</vt:lpstr>
      <vt:lpstr>Res</vt:lpstr>
      <vt:lpstr>RS</vt:lpstr>
      <vt:lpstr>RT</vt:lpstr>
      <vt:lpstr>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Rupf</dc:creator>
  <cp:lastModifiedBy>Martin Rupf</cp:lastModifiedBy>
  <dcterms:created xsi:type="dcterms:W3CDTF">2015-06-05T18:19:34Z</dcterms:created>
  <dcterms:modified xsi:type="dcterms:W3CDTF">2024-06-21T11:58:30Z</dcterms:modified>
</cp:coreProperties>
</file>